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9FA2B4C9-F4FC-4C72-B213-68B6B9990BD3}" xr6:coauthVersionLast="36" xr6:coauthVersionMax="36" xr10:uidLastSave="{00000000-0000-0000-0000-000000000000}"/>
  <bookViews>
    <workbookView xWindow="0" yWindow="0" windowWidth="22260" windowHeight="12648" activeTab="6" xr2:uid="{00000000-000D-0000-FFFF-FFFF00000000}"/>
  </bookViews>
  <sheets>
    <sheet name="Assumptions" sheetId="3" r:id="rId1"/>
    <sheet name="Balance Sheet" sheetId="2" r:id="rId2"/>
    <sheet name="P&amp;L" sheetId="7" r:id="rId3"/>
    <sheet name="Asset Schedule" sheetId="9" r:id="rId4"/>
    <sheet name="Debt Schedule " sheetId="10" r:id="rId5"/>
    <sheet name="Reserves schedule " sheetId="12" r:id="rId6"/>
    <sheet name="Cash Flow" sheetId="13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2" l="1"/>
  <c r="L28" i="2"/>
  <c r="M28" i="2"/>
  <c r="N28" i="2"/>
  <c r="J28" i="2"/>
  <c r="I44" i="13" l="1"/>
  <c r="H44" i="13"/>
  <c r="G44" i="13"/>
  <c r="F44" i="13"/>
  <c r="E44" i="13"/>
  <c r="G40" i="13"/>
  <c r="H40" i="13"/>
  <c r="H42" i="13" s="1"/>
  <c r="I40" i="13" s="1"/>
  <c r="I42" i="13" s="1"/>
  <c r="J40" i="13" s="1"/>
  <c r="J42" i="13" s="1"/>
  <c r="K40" i="13" s="1"/>
  <c r="K42" i="13" s="1"/>
  <c r="L40" i="13" s="1"/>
  <c r="L42" i="13" s="1"/>
  <c r="M40" i="13" s="1"/>
  <c r="M42" i="13" s="1"/>
  <c r="N40" i="13" s="1"/>
  <c r="N42" i="13" s="1"/>
  <c r="G41" i="13"/>
  <c r="H41" i="13"/>
  <c r="I41" i="13"/>
  <c r="J41" i="13"/>
  <c r="K41" i="13"/>
  <c r="L41" i="13"/>
  <c r="M41" i="13"/>
  <c r="N41" i="13"/>
  <c r="G42" i="13"/>
  <c r="F42" i="13"/>
  <c r="F41" i="13"/>
  <c r="F40" i="13"/>
  <c r="E42" i="13"/>
  <c r="N37" i="13"/>
  <c r="M37" i="13"/>
  <c r="L37" i="13"/>
  <c r="K37" i="13"/>
  <c r="J37" i="13"/>
  <c r="I37" i="13"/>
  <c r="H37" i="13"/>
  <c r="G37" i="13"/>
  <c r="N32" i="13"/>
  <c r="M32" i="13"/>
  <c r="L32" i="13"/>
  <c r="K32" i="13"/>
  <c r="J32" i="13"/>
  <c r="I32" i="13"/>
  <c r="I35" i="13" s="1"/>
  <c r="H32" i="13"/>
  <c r="G32" i="13"/>
  <c r="F32" i="13"/>
  <c r="G28" i="13"/>
  <c r="H28" i="13"/>
  <c r="I28" i="13"/>
  <c r="J28" i="13"/>
  <c r="K28" i="13"/>
  <c r="L28" i="13"/>
  <c r="M28" i="13"/>
  <c r="N28" i="13"/>
  <c r="G29" i="13"/>
  <c r="G35" i="13" s="1"/>
  <c r="H29" i="13"/>
  <c r="I29" i="13"/>
  <c r="J29" i="13"/>
  <c r="K29" i="13"/>
  <c r="L29" i="13"/>
  <c r="M29" i="13"/>
  <c r="N29" i="13"/>
  <c r="G30" i="13"/>
  <c r="H30" i="13"/>
  <c r="I30" i="13"/>
  <c r="J30" i="13"/>
  <c r="K30" i="13"/>
  <c r="L30" i="13"/>
  <c r="M30" i="13"/>
  <c r="N30" i="13"/>
  <c r="G31" i="13"/>
  <c r="H31" i="13"/>
  <c r="I31" i="13"/>
  <c r="J31" i="13"/>
  <c r="K31" i="13"/>
  <c r="L31" i="13"/>
  <c r="M31" i="13"/>
  <c r="N31" i="13"/>
  <c r="G33" i="13"/>
  <c r="H33" i="13"/>
  <c r="I33" i="13"/>
  <c r="J33" i="13"/>
  <c r="K33" i="13"/>
  <c r="L33" i="13"/>
  <c r="M33" i="13"/>
  <c r="N33" i="13"/>
  <c r="G34" i="13"/>
  <c r="H34" i="13"/>
  <c r="I34" i="13"/>
  <c r="J34" i="13"/>
  <c r="K34" i="13"/>
  <c r="L34" i="13"/>
  <c r="M34" i="13"/>
  <c r="N34" i="13"/>
  <c r="H35" i="13"/>
  <c r="J35" i="13"/>
  <c r="K35" i="13"/>
  <c r="L35" i="13"/>
  <c r="M35" i="13"/>
  <c r="N35" i="13"/>
  <c r="F35" i="13"/>
  <c r="F37" i="13" s="1"/>
  <c r="F34" i="13"/>
  <c r="F33" i="13"/>
  <c r="F31" i="13"/>
  <c r="F30" i="13"/>
  <c r="F29" i="13"/>
  <c r="F28" i="13"/>
  <c r="G21" i="13"/>
  <c r="H21" i="13"/>
  <c r="I21" i="13"/>
  <c r="J21" i="13"/>
  <c r="K21" i="13"/>
  <c r="L21" i="13"/>
  <c r="L25" i="13" s="1"/>
  <c r="M21" i="13"/>
  <c r="M25" i="13" s="1"/>
  <c r="N21" i="13"/>
  <c r="N25" i="13" s="1"/>
  <c r="K25" i="13"/>
  <c r="J25" i="13"/>
  <c r="I25" i="13"/>
  <c r="H25" i="13"/>
  <c r="G25" i="13"/>
  <c r="F21" i="13"/>
  <c r="F25" i="13" s="1"/>
  <c r="N24" i="13"/>
  <c r="M24" i="13"/>
  <c r="L24" i="13"/>
  <c r="K24" i="13"/>
  <c r="J24" i="13"/>
  <c r="I24" i="13"/>
  <c r="H24" i="13"/>
  <c r="G24" i="13"/>
  <c r="N23" i="13"/>
  <c r="M23" i="13"/>
  <c r="L23" i="13"/>
  <c r="K23" i="13"/>
  <c r="J23" i="13"/>
  <c r="I23" i="13"/>
  <c r="H23" i="13"/>
  <c r="G23" i="13"/>
  <c r="N22" i="13"/>
  <c r="M22" i="13"/>
  <c r="L22" i="13"/>
  <c r="K22" i="13"/>
  <c r="J22" i="13"/>
  <c r="I22" i="13"/>
  <c r="H22" i="13"/>
  <c r="G22" i="13"/>
  <c r="F24" i="13"/>
  <c r="F23" i="13"/>
  <c r="F22" i="13"/>
  <c r="N18" i="13"/>
  <c r="M18" i="13"/>
  <c r="L18" i="13"/>
  <c r="K18" i="13"/>
  <c r="J18" i="13"/>
  <c r="I18" i="13"/>
  <c r="H18" i="13"/>
  <c r="G18" i="13"/>
  <c r="F18" i="13"/>
  <c r="G9" i="13"/>
  <c r="H9" i="13"/>
  <c r="I9" i="13"/>
  <c r="J9" i="13"/>
  <c r="K9" i="13"/>
  <c r="L9" i="13"/>
  <c r="M9" i="13"/>
  <c r="N9" i="13"/>
  <c r="G10" i="13"/>
  <c r="H10" i="13"/>
  <c r="I10" i="13"/>
  <c r="J10" i="13"/>
  <c r="K10" i="13"/>
  <c r="L10" i="13"/>
  <c r="M10" i="13"/>
  <c r="N10" i="13"/>
  <c r="G11" i="13"/>
  <c r="H11" i="13"/>
  <c r="I11" i="13"/>
  <c r="J11" i="13"/>
  <c r="K11" i="13"/>
  <c r="L11" i="13"/>
  <c r="M11" i="13"/>
  <c r="N11" i="13"/>
  <c r="G12" i="13"/>
  <c r="H12" i="13"/>
  <c r="I12" i="13"/>
  <c r="J12" i="13"/>
  <c r="K12" i="13"/>
  <c r="L12" i="13"/>
  <c r="M12" i="13"/>
  <c r="N12" i="13"/>
  <c r="G13" i="13"/>
  <c r="H13" i="13"/>
  <c r="I13" i="13"/>
  <c r="J13" i="13"/>
  <c r="K13" i="13"/>
  <c r="L13" i="13"/>
  <c r="M13" i="13"/>
  <c r="N13" i="13"/>
  <c r="G14" i="13"/>
  <c r="H14" i="13"/>
  <c r="I14" i="13"/>
  <c r="J14" i="13"/>
  <c r="K14" i="13"/>
  <c r="L14" i="13"/>
  <c r="M14" i="13"/>
  <c r="N14" i="13"/>
  <c r="G15" i="13"/>
  <c r="H15" i="13"/>
  <c r="I15" i="13"/>
  <c r="J15" i="13"/>
  <c r="K15" i="13"/>
  <c r="L15" i="13"/>
  <c r="M15" i="13"/>
  <c r="N15" i="13"/>
  <c r="G16" i="13"/>
  <c r="H16" i="13"/>
  <c r="I16" i="13"/>
  <c r="J16" i="13"/>
  <c r="K16" i="13"/>
  <c r="L16" i="13"/>
  <c r="M16" i="13"/>
  <c r="N16" i="13"/>
  <c r="F16" i="13"/>
  <c r="F15" i="13"/>
  <c r="F14" i="13"/>
  <c r="F13" i="13"/>
  <c r="F12" i="13"/>
  <c r="F11" i="13"/>
  <c r="F10" i="13"/>
  <c r="F9" i="13"/>
  <c r="G5" i="13"/>
  <c r="H5" i="13"/>
  <c r="I5" i="13"/>
  <c r="J5" i="13"/>
  <c r="K5" i="13"/>
  <c r="L5" i="13"/>
  <c r="M5" i="13"/>
  <c r="N5" i="13"/>
  <c r="G6" i="13"/>
  <c r="H6" i="13"/>
  <c r="I6" i="13"/>
  <c r="J6" i="13"/>
  <c r="K6" i="13"/>
  <c r="L6" i="13"/>
  <c r="M6" i="13"/>
  <c r="N6" i="13"/>
  <c r="F6" i="13"/>
  <c r="F5" i="13"/>
  <c r="J30" i="2" l="1"/>
  <c r="K30" i="2" s="1"/>
  <c r="L30" i="2" s="1"/>
  <c r="M30" i="2" s="1"/>
  <c r="N30" i="2" s="1"/>
  <c r="K13" i="12"/>
  <c r="L13" i="12"/>
  <c r="M13" i="12"/>
  <c r="N13" i="12"/>
  <c r="J23" i="7"/>
  <c r="N15" i="7" l="1"/>
  <c r="M15" i="7"/>
  <c r="L15" i="7"/>
  <c r="K15" i="7"/>
  <c r="N14" i="7"/>
  <c r="M14" i="7"/>
  <c r="L14" i="7"/>
  <c r="K14" i="7"/>
  <c r="N13" i="7"/>
  <c r="M13" i="7"/>
  <c r="L13" i="7"/>
  <c r="K13" i="7"/>
  <c r="N12" i="7"/>
  <c r="M12" i="7"/>
  <c r="L12" i="7"/>
  <c r="K12" i="7"/>
  <c r="N11" i="7"/>
  <c r="M11" i="7"/>
  <c r="L11" i="7"/>
  <c r="K11" i="7"/>
  <c r="J15" i="7" l="1"/>
  <c r="J14" i="7"/>
  <c r="J13" i="7"/>
  <c r="J12" i="7"/>
  <c r="J11" i="7"/>
  <c r="K5" i="7"/>
  <c r="L5" i="7" s="1"/>
  <c r="J8" i="7"/>
  <c r="J7" i="7"/>
  <c r="J6" i="7"/>
  <c r="J5" i="7"/>
  <c r="L7" i="7" l="1"/>
  <c r="M5" i="7"/>
  <c r="L6" i="7"/>
  <c r="L8" i="7" s="1"/>
  <c r="K7" i="7"/>
  <c r="K6" i="7"/>
  <c r="K8" i="7" s="1"/>
  <c r="M7" i="7" l="1"/>
  <c r="N5" i="7"/>
  <c r="M6" i="7"/>
  <c r="M8" i="7" s="1"/>
  <c r="N7" i="7" l="1"/>
  <c r="N6" i="7"/>
  <c r="N8" i="7"/>
  <c r="I19" i="12" l="1"/>
  <c r="H19" i="12"/>
  <c r="G19" i="12"/>
  <c r="F19" i="12"/>
  <c r="I17" i="12"/>
  <c r="H17" i="12"/>
  <c r="G17" i="12"/>
  <c r="F17" i="12"/>
  <c r="E19" i="12"/>
  <c r="E17" i="12"/>
  <c r="I16" i="12"/>
  <c r="H16" i="12"/>
  <c r="G16" i="12"/>
  <c r="F16" i="12"/>
  <c r="E16" i="12"/>
  <c r="J11" i="12"/>
  <c r="F15" i="12"/>
  <c r="E15" i="12"/>
  <c r="F11" i="12" s="1"/>
  <c r="I12" i="12"/>
  <c r="H12" i="12"/>
  <c r="G12" i="12"/>
  <c r="F12" i="12"/>
  <c r="J13" i="12"/>
  <c r="I13" i="12"/>
  <c r="H13" i="12"/>
  <c r="G13" i="12"/>
  <c r="E13" i="12"/>
  <c r="E12" i="12"/>
  <c r="N8" i="12"/>
  <c r="M8" i="12"/>
  <c r="L8" i="12"/>
  <c r="K8" i="12"/>
  <c r="J8" i="12"/>
  <c r="I8" i="12"/>
  <c r="H8" i="12"/>
  <c r="G8" i="12"/>
  <c r="F8" i="12"/>
  <c r="E8" i="12"/>
  <c r="I4" i="12"/>
  <c r="J4" i="12" s="1"/>
  <c r="H4" i="12"/>
  <c r="G4" i="12"/>
  <c r="F4" i="12"/>
  <c r="E4" i="12"/>
  <c r="J11" i="2" l="1"/>
  <c r="K4" i="12"/>
  <c r="G11" i="12"/>
  <c r="K11" i="2" l="1"/>
  <c r="L4" i="12"/>
  <c r="G15" i="12"/>
  <c r="H11" i="12" s="1"/>
  <c r="M4" i="12" l="1"/>
  <c r="L11" i="2"/>
  <c r="H15" i="12"/>
  <c r="I11" i="12" s="1"/>
  <c r="I15" i="12" s="1"/>
  <c r="N4" i="12" l="1"/>
  <c r="N11" i="2" s="1"/>
  <c r="M11" i="2"/>
  <c r="E15" i="10" l="1"/>
  <c r="F12" i="10" s="1"/>
  <c r="F15" i="10" s="1"/>
  <c r="G12" i="10" s="1"/>
  <c r="G15" i="10" s="1"/>
  <c r="H12" i="10" s="1"/>
  <c r="H15" i="10" s="1"/>
  <c r="I12" i="10" s="1"/>
  <c r="I15" i="10" s="1"/>
  <c r="J12" i="10" s="1"/>
  <c r="J15" i="10" s="1"/>
  <c r="E8" i="10"/>
  <c r="F5" i="10" s="1"/>
  <c r="F8" i="10" l="1"/>
  <c r="G5" i="10" s="1"/>
  <c r="K12" i="10"/>
  <c r="K15" i="10" s="1"/>
  <c r="J17" i="2"/>
  <c r="L12" i="10" l="1"/>
  <c r="L15" i="10" s="1"/>
  <c r="K17" i="2"/>
  <c r="G8" i="10"/>
  <c r="H5" i="10" s="1"/>
  <c r="F17" i="10"/>
  <c r="F18" i="10" s="1"/>
  <c r="H8" i="10" l="1"/>
  <c r="I5" i="10" s="1"/>
  <c r="G17" i="10"/>
  <c r="G18" i="10" s="1"/>
  <c r="M12" i="10"/>
  <c r="M15" i="10" s="1"/>
  <c r="L17" i="2"/>
  <c r="I12" i="9"/>
  <c r="H12" i="9"/>
  <c r="G12" i="9"/>
  <c r="F12" i="9"/>
  <c r="E14" i="9"/>
  <c r="F11" i="9" s="1"/>
  <c r="F14" i="9" s="1"/>
  <c r="G11" i="9" s="1"/>
  <c r="G14" i="9" s="1"/>
  <c r="H11" i="9" s="1"/>
  <c r="H14" i="9" s="1"/>
  <c r="I11" i="9" s="1"/>
  <c r="I14" i="9" s="1"/>
  <c r="J11" i="9" s="1"/>
  <c r="E8" i="9"/>
  <c r="E16" i="9" s="1"/>
  <c r="N12" i="10" l="1"/>
  <c r="N15" i="10" s="1"/>
  <c r="N17" i="2" s="1"/>
  <c r="M17" i="2"/>
  <c r="F5" i="9"/>
  <c r="F8" i="9" s="1"/>
  <c r="I8" i="10"/>
  <c r="J5" i="10" s="1"/>
  <c r="H17" i="10"/>
  <c r="H18" i="10" s="1"/>
  <c r="K24" i="3"/>
  <c r="M24" i="3" s="1"/>
  <c r="L24" i="3"/>
  <c r="K26" i="3"/>
  <c r="L26" i="3" s="1"/>
  <c r="K28" i="3"/>
  <c r="M28" i="3" s="1"/>
  <c r="L28" i="3"/>
  <c r="K30" i="3"/>
  <c r="L30" i="3" s="1"/>
  <c r="K32" i="3"/>
  <c r="M32" i="3" s="1"/>
  <c r="L32" i="3"/>
  <c r="K34" i="3"/>
  <c r="L34" i="3" s="1"/>
  <c r="K36" i="3"/>
  <c r="M36" i="3" s="1"/>
  <c r="L36" i="3"/>
  <c r="K38" i="3"/>
  <c r="L38" i="3" s="1"/>
  <c r="J38" i="3"/>
  <c r="J36" i="3"/>
  <c r="J34" i="3"/>
  <c r="J32" i="3"/>
  <c r="J30" i="3"/>
  <c r="J28" i="3"/>
  <c r="J26" i="3"/>
  <c r="J24" i="3"/>
  <c r="G38" i="3"/>
  <c r="H38" i="3"/>
  <c r="I38" i="3"/>
  <c r="G36" i="3"/>
  <c r="H36" i="3"/>
  <c r="I36" i="3"/>
  <c r="G34" i="3"/>
  <c r="H34" i="3"/>
  <c r="I34" i="3"/>
  <c r="G32" i="3"/>
  <c r="H32" i="3"/>
  <c r="I32" i="3"/>
  <c r="G30" i="3"/>
  <c r="H30" i="3"/>
  <c r="I30" i="3"/>
  <c r="G28" i="3"/>
  <c r="H28" i="3"/>
  <c r="I28" i="3"/>
  <c r="G26" i="3"/>
  <c r="H26" i="3"/>
  <c r="I26" i="3"/>
  <c r="F38" i="3"/>
  <c r="F36" i="3"/>
  <c r="F34" i="3"/>
  <c r="F32" i="3"/>
  <c r="F30" i="3"/>
  <c r="F28" i="3"/>
  <c r="F26" i="3"/>
  <c r="G24" i="3"/>
  <c r="H24" i="3"/>
  <c r="I24" i="3"/>
  <c r="F24" i="3"/>
  <c r="G5" i="9" l="1"/>
  <c r="G8" i="9" s="1"/>
  <c r="F16" i="9"/>
  <c r="I17" i="10"/>
  <c r="I18" i="10" s="1"/>
  <c r="J18" i="10" s="1"/>
  <c r="J8" i="10"/>
  <c r="J17" i="10" s="1"/>
  <c r="M30" i="3"/>
  <c r="N30" i="3"/>
  <c r="M26" i="3"/>
  <c r="N26" i="3" s="1"/>
  <c r="M38" i="3"/>
  <c r="N38" i="3" s="1"/>
  <c r="M34" i="3"/>
  <c r="N34" i="3"/>
  <c r="N36" i="3"/>
  <c r="N32" i="3"/>
  <c r="N28" i="3"/>
  <c r="N24" i="3"/>
  <c r="J17" i="7" l="1"/>
  <c r="K5" i="10"/>
  <c r="J16" i="2"/>
  <c r="J18" i="2" s="1"/>
  <c r="K18" i="10"/>
  <c r="L18" i="10" s="1"/>
  <c r="H5" i="9"/>
  <c r="H8" i="9" s="1"/>
  <c r="G16" i="9"/>
  <c r="G14" i="3"/>
  <c r="H14" i="3"/>
  <c r="I14" i="3"/>
  <c r="G16" i="3"/>
  <c r="H16" i="3"/>
  <c r="I16" i="3"/>
  <c r="G18" i="3"/>
  <c r="H18" i="3"/>
  <c r="I18" i="3"/>
  <c r="G20" i="3"/>
  <c r="H20" i="3"/>
  <c r="I20" i="3"/>
  <c r="F20" i="3"/>
  <c r="F18" i="3"/>
  <c r="F16" i="3"/>
  <c r="F14" i="3"/>
  <c r="J14" i="3" s="1"/>
  <c r="J16" i="3" l="1"/>
  <c r="J29" i="2" s="1"/>
  <c r="K16" i="3"/>
  <c r="K29" i="2" s="1"/>
  <c r="J18" i="3"/>
  <c r="J38" i="2" s="1"/>
  <c r="K14" i="3"/>
  <c r="M18" i="10"/>
  <c r="L16" i="3"/>
  <c r="K8" i="10"/>
  <c r="K17" i="10"/>
  <c r="K17" i="7" s="1"/>
  <c r="I5" i="9"/>
  <c r="I8" i="9" s="1"/>
  <c r="H16" i="9"/>
  <c r="G12" i="3"/>
  <c r="H12" i="3"/>
  <c r="I12" i="3"/>
  <c r="F12" i="3"/>
  <c r="J12" i="3" l="1"/>
  <c r="J26" i="2" s="1"/>
  <c r="M16" i="3"/>
  <c r="L29" i="2"/>
  <c r="K18" i="3"/>
  <c r="K38" i="2" s="1"/>
  <c r="K12" i="3"/>
  <c r="N18" i="10"/>
  <c r="J5" i="9"/>
  <c r="J8" i="9" s="1"/>
  <c r="I16" i="9"/>
  <c r="L14" i="3"/>
  <c r="L5" i="10"/>
  <c r="K16" i="2"/>
  <c r="K18" i="2" s="1"/>
  <c r="L18" i="3" l="1"/>
  <c r="L38" i="2" s="1"/>
  <c r="N16" i="3"/>
  <c r="N29" i="2" s="1"/>
  <c r="M29" i="2"/>
  <c r="M14" i="3"/>
  <c r="N14" i="3" s="1"/>
  <c r="M18" i="3"/>
  <c r="K5" i="9"/>
  <c r="K8" i="9" s="1"/>
  <c r="J34" i="2"/>
  <c r="J39" i="2" s="1"/>
  <c r="L8" i="10"/>
  <c r="L17" i="10" s="1"/>
  <c r="L17" i="7" s="1"/>
  <c r="L12" i="3"/>
  <c r="K26" i="2"/>
  <c r="I10" i="3"/>
  <c r="H10" i="3"/>
  <c r="G10" i="3"/>
  <c r="F10" i="3"/>
  <c r="N18" i="3" l="1"/>
  <c r="N38" i="2" s="1"/>
  <c r="M38" i="2"/>
  <c r="M12" i="3"/>
  <c r="N12" i="3" s="1"/>
  <c r="M5" i="10"/>
  <c r="L16" i="2"/>
  <c r="L18" i="2" s="1"/>
  <c r="J10" i="3"/>
  <c r="J27" i="2"/>
  <c r="J31" i="2" s="1"/>
  <c r="J16" i="7"/>
  <c r="L26" i="2"/>
  <c r="L5" i="9"/>
  <c r="L8" i="9" s="1"/>
  <c r="K34" i="2"/>
  <c r="E8" i="2"/>
  <c r="E13" i="2"/>
  <c r="E18" i="2"/>
  <c r="E31" i="2"/>
  <c r="E41" i="2" s="1"/>
  <c r="E36" i="2"/>
  <c r="E22" i="2" l="1"/>
  <c r="K27" i="2"/>
  <c r="K31" i="2" s="1"/>
  <c r="K39" i="2"/>
  <c r="M26" i="2"/>
  <c r="M5" i="9"/>
  <c r="M8" i="9" s="1"/>
  <c r="L34" i="2"/>
  <c r="M8" i="10"/>
  <c r="M17" i="10" s="1"/>
  <c r="M17" i="7" s="1"/>
  <c r="K10" i="3"/>
  <c r="L10" i="3" s="1"/>
  <c r="J18" i="7"/>
  <c r="J20" i="7" s="1"/>
  <c r="K16" i="7"/>
  <c r="J12" i="9"/>
  <c r="J14" i="9" s="1"/>
  <c r="I8" i="3"/>
  <c r="H8" i="3"/>
  <c r="G8" i="3"/>
  <c r="F8" i="3"/>
  <c r="I6" i="3"/>
  <c r="H6" i="3"/>
  <c r="G6" i="3"/>
  <c r="F6" i="3"/>
  <c r="N26" i="2" l="1"/>
  <c r="L27" i="2"/>
  <c r="L31" i="2" s="1"/>
  <c r="L39" i="2"/>
  <c r="M10" i="3"/>
  <c r="N5" i="10"/>
  <c r="M16" i="2"/>
  <c r="M18" i="2" s="1"/>
  <c r="K11" i="9"/>
  <c r="J35" i="2"/>
  <c r="J36" i="2" s="1"/>
  <c r="J41" i="2" s="1"/>
  <c r="J16" i="9"/>
  <c r="L16" i="7"/>
  <c r="K18" i="7"/>
  <c r="K20" i="7" s="1"/>
  <c r="K12" i="9"/>
  <c r="N5" i="9"/>
  <c r="N8" i="9" s="1"/>
  <c r="M34" i="2"/>
  <c r="J21" i="7"/>
  <c r="J20" i="2"/>
  <c r="J8" i="3"/>
  <c r="J6" i="3"/>
  <c r="I36" i="2"/>
  <c r="H36" i="2"/>
  <c r="G36" i="2"/>
  <c r="F36" i="2"/>
  <c r="I31" i="2"/>
  <c r="H31" i="2"/>
  <c r="G31" i="2"/>
  <c r="F31" i="2"/>
  <c r="I18" i="2"/>
  <c r="H18" i="2"/>
  <c r="G18" i="2"/>
  <c r="F18" i="2"/>
  <c r="I13" i="2"/>
  <c r="H13" i="2"/>
  <c r="G13" i="2"/>
  <c r="F13" i="2"/>
  <c r="I8" i="2"/>
  <c r="H8" i="2"/>
  <c r="G8" i="2"/>
  <c r="F8" i="2"/>
  <c r="M39" i="2" l="1"/>
  <c r="M27" i="2"/>
  <c r="M31" i="2" s="1"/>
  <c r="K14" i="9"/>
  <c r="K20" i="2" s="1"/>
  <c r="K21" i="7"/>
  <c r="L21" i="7" s="1"/>
  <c r="N34" i="2"/>
  <c r="K6" i="3"/>
  <c r="K6" i="2" s="1"/>
  <c r="J6" i="2"/>
  <c r="N8" i="10"/>
  <c r="N16" i="2" s="1"/>
  <c r="N18" i="2" s="1"/>
  <c r="M16" i="7"/>
  <c r="L18" i="7"/>
  <c r="L20" i="7" s="1"/>
  <c r="L12" i="9"/>
  <c r="L11" i="9"/>
  <c r="L14" i="9" s="1"/>
  <c r="K35" i="2"/>
  <c r="K36" i="2" s="1"/>
  <c r="K41" i="2" s="1"/>
  <c r="K8" i="3"/>
  <c r="K7" i="2" s="1"/>
  <c r="J7" i="2"/>
  <c r="J22" i="7"/>
  <c r="N10" i="3"/>
  <c r="F41" i="2"/>
  <c r="F22" i="2"/>
  <c r="G22" i="2"/>
  <c r="G41" i="2"/>
  <c r="H22" i="2"/>
  <c r="H41" i="2"/>
  <c r="I22" i="2"/>
  <c r="I41" i="2"/>
  <c r="H29" i="7"/>
  <c r="G29" i="7"/>
  <c r="F29" i="7"/>
  <c r="E29" i="7"/>
  <c r="I24" i="7"/>
  <c r="I29" i="7" s="1"/>
  <c r="H24" i="7"/>
  <c r="G24" i="7"/>
  <c r="F24" i="7"/>
  <c r="E24" i="7"/>
  <c r="I22" i="7"/>
  <c r="H22" i="7"/>
  <c r="G22" i="7"/>
  <c r="F22" i="7"/>
  <c r="E22" i="7"/>
  <c r="I20" i="7"/>
  <c r="H20" i="7"/>
  <c r="G20" i="7"/>
  <c r="F20" i="7"/>
  <c r="E20" i="7"/>
  <c r="I18" i="7"/>
  <c r="H18" i="7"/>
  <c r="G18" i="7"/>
  <c r="F18" i="7"/>
  <c r="E18" i="7"/>
  <c r="I8" i="7"/>
  <c r="H8" i="7"/>
  <c r="G8" i="7"/>
  <c r="F8" i="7"/>
  <c r="E8" i="7"/>
  <c r="N39" i="2" l="1"/>
  <c r="N27" i="2"/>
  <c r="N31" i="2" s="1"/>
  <c r="K22" i="7"/>
  <c r="L6" i="3"/>
  <c r="L6" i="2" s="1"/>
  <c r="K16" i="9"/>
  <c r="J8" i="2"/>
  <c r="M11" i="9"/>
  <c r="L35" i="2"/>
  <c r="L36" i="2" s="1"/>
  <c r="L41" i="2" s="1"/>
  <c r="L16" i="9"/>
  <c r="L20" i="2"/>
  <c r="J26" i="7"/>
  <c r="J24" i="7"/>
  <c r="J27" i="7"/>
  <c r="L22" i="7"/>
  <c r="L8" i="3"/>
  <c r="N16" i="7"/>
  <c r="M18" i="7"/>
  <c r="M20" i="7" s="1"/>
  <c r="M12" i="9"/>
  <c r="K8" i="2"/>
  <c r="N17" i="10"/>
  <c r="N17" i="7" s="1"/>
  <c r="M6" i="3"/>
  <c r="M8" i="3" l="1"/>
  <c r="M7" i="2" s="1"/>
  <c r="L7" i="2"/>
  <c r="L8" i="2" s="1"/>
  <c r="N6" i="3"/>
  <c r="N6" i="2" s="1"/>
  <c r="M6" i="2"/>
  <c r="M8" i="2" s="1"/>
  <c r="J12" i="12"/>
  <c r="J15" i="12" s="1"/>
  <c r="K26" i="7"/>
  <c r="K12" i="12" s="1"/>
  <c r="N18" i="7"/>
  <c r="N20" i="7" s="1"/>
  <c r="N12" i="9"/>
  <c r="N8" i="3"/>
  <c r="N7" i="2" s="1"/>
  <c r="K27" i="7"/>
  <c r="J28" i="7"/>
  <c r="J29" i="7" s="1"/>
  <c r="L27" i="7"/>
  <c r="M14" i="9"/>
  <c r="M21" i="7"/>
  <c r="N21" i="7" s="1"/>
  <c r="K28" i="7" l="1"/>
  <c r="L28" i="7" s="1"/>
  <c r="L26" i="7"/>
  <c r="L12" i="12" s="1"/>
  <c r="K11" i="12"/>
  <c r="K15" i="12" s="1"/>
  <c r="M35" i="2"/>
  <c r="M36" i="2" s="1"/>
  <c r="M41" i="2" s="1"/>
  <c r="N11" i="9"/>
  <c r="N14" i="9" s="1"/>
  <c r="M16" i="9"/>
  <c r="M20" i="2"/>
  <c r="N8" i="2"/>
  <c r="J16" i="12"/>
  <c r="J17" i="12" s="1"/>
  <c r="J12" i="2" s="1"/>
  <c r="J13" i="2" s="1"/>
  <c r="J22" i="2" s="1"/>
  <c r="K23" i="7"/>
  <c r="K24" i="7" s="1"/>
  <c r="K29" i="7" s="1"/>
  <c r="M22" i="7"/>
  <c r="M27" i="7" s="1"/>
  <c r="N22" i="7"/>
  <c r="M28" i="7" l="1"/>
  <c r="L23" i="7"/>
  <c r="L24" i="7" s="1"/>
  <c r="L29" i="7" s="1"/>
  <c r="K16" i="12"/>
  <c r="N27" i="7"/>
  <c r="N28" i="7" s="1"/>
  <c r="L11" i="12"/>
  <c r="L15" i="12" s="1"/>
  <c r="K17" i="12"/>
  <c r="K12" i="2" s="1"/>
  <c r="K13" i="2" s="1"/>
  <c r="K22" i="2" s="1"/>
  <c r="N35" i="2"/>
  <c r="N36" i="2" s="1"/>
  <c r="N41" i="2" s="1"/>
  <c r="N16" i="9"/>
  <c r="N20" i="2"/>
  <c r="M26" i="7"/>
  <c r="M11" i="12" l="1"/>
  <c r="M12" i="12"/>
  <c r="N26" i="7"/>
  <c r="N12" i="12" s="1"/>
  <c r="M23" i="7"/>
  <c r="M24" i="7" s="1"/>
  <c r="M29" i="7" s="1"/>
  <c r="L16" i="12"/>
  <c r="L17" i="12" s="1"/>
  <c r="L12" i="2" s="1"/>
  <c r="L13" i="2" s="1"/>
  <c r="L22" i="2" s="1"/>
  <c r="N23" i="7" l="1"/>
  <c r="N24" i="7" s="1"/>
  <c r="N29" i="7" s="1"/>
  <c r="N16" i="12" s="1"/>
  <c r="M16" i="12"/>
  <c r="M15" i="12"/>
  <c r="N11" i="12" l="1"/>
  <c r="N15" i="12" s="1"/>
  <c r="N17" i="12" s="1"/>
  <c r="N12" i="2" s="1"/>
  <c r="N13" i="2" s="1"/>
  <c r="N22" i="2" s="1"/>
  <c r="M17" i="12"/>
  <c r="M12" i="2" s="1"/>
  <c r="M13" i="2" s="1"/>
  <c r="M22" i="2" s="1"/>
</calcChain>
</file>

<file path=xl/sharedStrings.xml><?xml version="1.0" encoding="utf-8"?>
<sst xmlns="http://schemas.openxmlformats.org/spreadsheetml/2006/main" count="231" uniqueCount="143">
  <si>
    <t>(All Numbers in INR Crs, unless stated)</t>
  </si>
  <si>
    <t>Year 1A</t>
  </si>
  <si>
    <t>Year 2A</t>
  </si>
  <si>
    <t>Year 3A</t>
  </si>
  <si>
    <t>Year 4A</t>
  </si>
  <si>
    <t>Year 5A</t>
  </si>
  <si>
    <t>Year 6P</t>
  </si>
  <si>
    <t>Year 7P</t>
  </si>
  <si>
    <t>Year 8P</t>
  </si>
  <si>
    <t>Year 9P</t>
  </si>
  <si>
    <t>Year 10P</t>
  </si>
  <si>
    <t>As on March 31st</t>
  </si>
  <si>
    <t>Balance Sheet</t>
  </si>
  <si>
    <t>Profit &amp; Loss</t>
  </si>
  <si>
    <t>Assumption Sheet</t>
  </si>
  <si>
    <t>Revenue :</t>
  </si>
  <si>
    <t xml:space="preserve">Net Sales </t>
  </si>
  <si>
    <t xml:space="preserve">Other income </t>
  </si>
  <si>
    <t xml:space="preserve">Increase in stock </t>
  </si>
  <si>
    <t>Total Income</t>
  </si>
  <si>
    <t>Expenses :</t>
  </si>
  <si>
    <t>Purchase of trading goods</t>
  </si>
  <si>
    <t>Materials Consumed</t>
  </si>
  <si>
    <t>Payments and Benefits to Employees</t>
  </si>
  <si>
    <t>Maufacturing, Selling, Admin and Other Expense</t>
  </si>
  <si>
    <t>Duties and Taxes</t>
  </si>
  <si>
    <t xml:space="preserve">Total Expenses </t>
  </si>
  <si>
    <t>Depreciation and Amortization</t>
  </si>
  <si>
    <t>Interest Expense</t>
  </si>
  <si>
    <t>Less: Provision for Taxes -Current</t>
  </si>
  <si>
    <t>PAT</t>
  </si>
  <si>
    <t>Profit Brought forward from Previous year</t>
  </si>
  <si>
    <t>Profit Available for Appropirations</t>
  </si>
  <si>
    <t>Less: Appropriations</t>
  </si>
  <si>
    <t>Trasnsfer to General Reserves</t>
  </si>
  <si>
    <t>Proposed Dividend</t>
  </si>
  <si>
    <t>Dividend Tax</t>
  </si>
  <si>
    <t>Balance Carried to Balance Sheet</t>
  </si>
  <si>
    <t>Current Liabilities</t>
  </si>
  <si>
    <t>Liabilities</t>
  </si>
  <si>
    <t>Provisions</t>
  </si>
  <si>
    <t>Total Current Libilities</t>
  </si>
  <si>
    <t>Shareholders Funds</t>
  </si>
  <si>
    <t>Share Capital</t>
  </si>
  <si>
    <t>Reserve and Surplus</t>
  </si>
  <si>
    <t>Total Shareholders Equity</t>
  </si>
  <si>
    <t>Non Current Liability</t>
  </si>
  <si>
    <t>Secured Loan</t>
  </si>
  <si>
    <t>Unsecured Loan</t>
  </si>
  <si>
    <t>Total Non Current Liability</t>
  </si>
  <si>
    <t>Deferred Tax Liability</t>
  </si>
  <si>
    <t>Total Liabilities</t>
  </si>
  <si>
    <t>Application of Funds</t>
  </si>
  <si>
    <t>Current Assets</t>
  </si>
  <si>
    <t>Inventories</t>
  </si>
  <si>
    <t>Sundry Debtors</t>
  </si>
  <si>
    <t>Cash and Bank Balances</t>
  </si>
  <si>
    <t>Loans, Advances and Deposits</t>
  </si>
  <si>
    <t>Other Current Assets</t>
  </si>
  <si>
    <t>Total Current Assets</t>
  </si>
  <si>
    <t>Fixed Assets</t>
  </si>
  <si>
    <t>Gross Block</t>
  </si>
  <si>
    <t>Less: Depriciation</t>
  </si>
  <si>
    <t>Net Block</t>
  </si>
  <si>
    <t>Capital Work In Progress</t>
  </si>
  <si>
    <t>Investments</t>
  </si>
  <si>
    <t>Total Assets</t>
  </si>
  <si>
    <t xml:space="preserve">Sources of Funds </t>
  </si>
  <si>
    <t>Balance Sheet Assumptions</t>
  </si>
  <si>
    <t>Liabilities as a % of Gross Block</t>
  </si>
  <si>
    <t>Provisions as a % of Gross Block</t>
  </si>
  <si>
    <t>PBT</t>
  </si>
  <si>
    <t>Inventory #no of days</t>
  </si>
  <si>
    <t>Sundry Debtors as a % of Gross Block</t>
  </si>
  <si>
    <t>Loans, Advances &amp; Deposits as % of Net Sales</t>
  </si>
  <si>
    <t>Capital WIP as a % of Net Sales</t>
  </si>
  <si>
    <t>Investments as a % of Gross Block</t>
  </si>
  <si>
    <t>Deferred Tax Liability as a % of depreciation</t>
  </si>
  <si>
    <t>P&amp;L Assumptions</t>
  </si>
  <si>
    <t>Net Sales Growth Rate</t>
  </si>
  <si>
    <t>Other Income as % of Net Sales</t>
  </si>
  <si>
    <t>Increase in Stock as % of Net Sales</t>
  </si>
  <si>
    <t>Purchase of Trading Goods as % of Net Sales</t>
  </si>
  <si>
    <t>Materials Consumed as a % of Net Sales</t>
  </si>
  <si>
    <t>Maufacturing, Selling and Other Expense as % of net Sales</t>
  </si>
  <si>
    <t>Duties and Taxes as a % of net Sales</t>
  </si>
  <si>
    <t>Payments and Benefits to Employees as a % of Net sales</t>
  </si>
  <si>
    <t xml:space="preserve">Asset Schedule </t>
  </si>
  <si>
    <t>.</t>
  </si>
  <si>
    <t>Opening Gross Block</t>
  </si>
  <si>
    <t>Add: CAPEX</t>
  </si>
  <si>
    <t>Less: Disposal of Assets</t>
  </si>
  <si>
    <t>Closing Gross Block</t>
  </si>
  <si>
    <t>Accumulated Depriciation</t>
  </si>
  <si>
    <t>Opening Balance</t>
  </si>
  <si>
    <t>Add:Current Year Depriciation</t>
  </si>
  <si>
    <t>Less: Depriciation Non Expense</t>
  </si>
  <si>
    <t>Closing Balance</t>
  </si>
  <si>
    <t xml:space="preserve">Debt Schedule </t>
  </si>
  <si>
    <t>Add: New Issue</t>
  </si>
  <si>
    <t>Less: Repayments</t>
  </si>
  <si>
    <t>Average Loan Outstanding</t>
  </si>
  <si>
    <t>Interest Rate in %</t>
  </si>
  <si>
    <t xml:space="preserve">Reserves Schedule </t>
  </si>
  <si>
    <t xml:space="preserve">Reserves &amp; Surplus </t>
  </si>
  <si>
    <t>Capital Reserve</t>
  </si>
  <si>
    <t>Securities Premium</t>
  </si>
  <si>
    <t>General Reserve</t>
  </si>
  <si>
    <t>Add: Addition During the Year</t>
  </si>
  <si>
    <t xml:space="preserve">Less: Past Service Cost of Employee Benefits </t>
  </si>
  <si>
    <t>Less: Utilised of Issue of Bonus Shares</t>
  </si>
  <si>
    <t>Surplus in Profits &amp; Loss Account</t>
  </si>
  <si>
    <t>Total Reserves and Surpluses</t>
  </si>
  <si>
    <t>Reserves and Surplus as stated in BS</t>
  </si>
  <si>
    <t>Cashflow statement</t>
  </si>
  <si>
    <t>Cashflow from Operations</t>
  </si>
  <si>
    <t>Add:Depreciation</t>
  </si>
  <si>
    <t>Net Change in Working Capital</t>
  </si>
  <si>
    <t>Add: Increase in Current Liabilities</t>
  </si>
  <si>
    <t>Add: Increase in Provisions</t>
  </si>
  <si>
    <t>Add: Increase in Deferred Tax Liability</t>
  </si>
  <si>
    <t>Less: Increase in Inventories</t>
  </si>
  <si>
    <t>Less: Increase in Sundry Debtors</t>
  </si>
  <si>
    <t>Less: Increase in Loans, Advances and Deposits</t>
  </si>
  <si>
    <t>Less: Increase in Other Current Assets</t>
  </si>
  <si>
    <t>Cashflow From Operations</t>
  </si>
  <si>
    <t>Cashflow from Investing Activities</t>
  </si>
  <si>
    <t>Less: Capex</t>
  </si>
  <si>
    <t>Add: Disposal of Assets</t>
  </si>
  <si>
    <t>Less: Increase in Capital WIP</t>
  </si>
  <si>
    <t>Less: Increase in Investments</t>
  </si>
  <si>
    <t>Cashflow from Financing Activities</t>
  </si>
  <si>
    <t>Add: Increase in Share Capital</t>
  </si>
  <si>
    <t>Add: Increase in Secured Loan</t>
  </si>
  <si>
    <t>Add: Increase in Unsecured Loan</t>
  </si>
  <si>
    <t>Less : Dividends Paid</t>
  </si>
  <si>
    <t>Less: Dividend Tax Paid</t>
  </si>
  <si>
    <t>Net Cash Flow</t>
  </si>
  <si>
    <t>Cash Balance</t>
  </si>
  <si>
    <t>Opening Cash</t>
  </si>
  <si>
    <t>Add: Net cashflow for the Year</t>
  </si>
  <si>
    <t>Net Cash Balance</t>
  </si>
  <si>
    <t>Cash Balance as stated in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</si>
</sst>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0" xfId="0" applyNumberFormat="1"/>
    <xf numFmtId="2" fontId="1" fillId="0" borderId="1" xfId="0" applyNumberFormat="1" applyFont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2" fontId="1" fillId="0" borderId="0" xfId="0" applyNumberFormat="1" applyFont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1" fillId="0" borderId="2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0" fontId="5" fillId="0" borderId="0" xfId="0" applyFont="1"/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10" fontId="0" fillId="0" borderId="0" xfId="1" applyNumberFormat="1" applyFont="1"/>
    <xf numFmtId="10" fontId="0" fillId="0" borderId="0" xfId="0" applyNumberFormat="1"/>
    <xf numFmtId="2" fontId="0" fillId="0" borderId="0" xfId="1" applyNumberFormat="1" applyFont="1"/>
    <xf numFmtId="2" fontId="1" fillId="0" borderId="2" xfId="0" applyNumberFormat="1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9" fillId="0" borderId="2" xfId="0" applyFont="1" applyBorder="1"/>
    <xf numFmtId="0" fontId="0" fillId="0" borderId="4" xfId="0" applyBorder="1"/>
    <xf numFmtId="164" fontId="0" fillId="0" borderId="0" xfId="0" applyNumberFormat="1" applyFont="1" applyBorder="1" applyAlignment="1">
      <alignment horizontal="right"/>
    </xf>
    <xf numFmtId="2" fontId="0" fillId="0" borderId="4" xfId="0" applyNumberFormat="1" applyBorder="1"/>
    <xf numFmtId="0" fontId="0" fillId="0" borderId="0" xfId="0" applyFont="1"/>
    <xf numFmtId="2" fontId="0" fillId="0" borderId="2" xfId="0" applyNumberFormat="1" applyBorder="1"/>
    <xf numFmtId="2" fontId="1" fillId="0" borderId="3" xfId="0" applyNumberFormat="1" applyFont="1" applyBorder="1"/>
    <xf numFmtId="0" fontId="4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D420A-19A1-41D6-BE48-5C3C025C8652}">
  <dimension ref="A1:R38"/>
  <sheetViews>
    <sheetView showGridLines="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6" sqref="J16"/>
    </sheetView>
  </sheetViews>
  <sheetFormatPr defaultRowHeight="14.4" x14ac:dyDescent="0.3"/>
  <cols>
    <col min="1" max="1" width="3" customWidth="1"/>
    <col min="2" max="2" width="3.109375" customWidth="1"/>
    <col min="3" max="3" width="43.21875" customWidth="1"/>
    <col min="4" max="4" width="2.21875" customWidth="1"/>
    <col min="5" max="5" width="9.5546875" customWidth="1"/>
  </cols>
  <sheetData>
    <row r="1" spans="1:14" ht="18" x14ac:dyDescent="0.35">
      <c r="A1" s="2" t="s">
        <v>14</v>
      </c>
      <c r="E1" s="39" t="s">
        <v>11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3">
      <c r="A2" s="1"/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4" spans="1:14" x14ac:dyDescent="0.3">
      <c r="A4" s="3" t="s">
        <v>68</v>
      </c>
    </row>
    <row r="6" spans="1:14" x14ac:dyDescent="0.3">
      <c r="B6" t="s">
        <v>69</v>
      </c>
      <c r="F6" s="26">
        <f>'Balance Sheet'!F6/'Balance Sheet'!F34</f>
        <v>0.33078741690257973</v>
      </c>
      <c r="G6" s="26">
        <f>'Balance Sheet'!G6/'Balance Sheet'!G34</f>
        <v>0.26644466013851292</v>
      </c>
      <c r="H6" s="26">
        <f>'Balance Sheet'!H6/'Balance Sheet'!H34</f>
        <v>0.33727701745553734</v>
      </c>
      <c r="I6" s="26">
        <f>'Balance Sheet'!I6/'Balance Sheet'!I34</f>
        <v>0.35617018862253863</v>
      </c>
      <c r="J6" s="26">
        <f>AVERAGE(F6:I6)</f>
        <v>0.32266982077979212</v>
      </c>
      <c r="K6" s="26">
        <f t="shared" ref="K6:N6" si="0">AVERAGE(G6:J6)</f>
        <v>0.32064042174909524</v>
      </c>
      <c r="L6" s="26">
        <f t="shared" si="0"/>
        <v>0.33418936215174083</v>
      </c>
      <c r="M6" s="26">
        <f t="shared" si="0"/>
        <v>0.33341744832579173</v>
      </c>
      <c r="N6" s="26">
        <f t="shared" si="0"/>
        <v>0.32772926325160495</v>
      </c>
    </row>
    <row r="7" spans="1:14" x14ac:dyDescent="0.3">
      <c r="F7" s="26"/>
      <c r="G7" s="26"/>
      <c r="H7" s="26"/>
      <c r="I7" s="26"/>
      <c r="J7" s="26"/>
      <c r="K7" s="26"/>
      <c r="L7" s="26"/>
      <c r="M7" s="26"/>
      <c r="N7" s="26"/>
    </row>
    <row r="8" spans="1:14" x14ac:dyDescent="0.3">
      <c r="B8" t="s">
        <v>70</v>
      </c>
      <c r="F8" s="26">
        <f>'Balance Sheet'!F7/'Balance Sheet'!F34</f>
        <v>0.24687534602923022</v>
      </c>
      <c r="G8" s="26">
        <f>'Balance Sheet'!G7/'Balance Sheet'!G34</f>
        <v>0.16509815037100639</v>
      </c>
      <c r="H8" s="26">
        <f>'Balance Sheet'!H7/'Balance Sheet'!H34</f>
        <v>0.3124506892062594</v>
      </c>
      <c r="I8" s="26">
        <f>'Balance Sheet'!I7/'Balance Sheet'!I34</f>
        <v>0.2918120724472304</v>
      </c>
      <c r="J8" s="26">
        <f>AVERAGE(F8:I8)</f>
        <v>0.25405906451343163</v>
      </c>
      <c r="K8" s="26">
        <f t="shared" ref="K8:N8" si="1">AVERAGE(G8:J8)</f>
        <v>0.25585499413448198</v>
      </c>
      <c r="L8" s="26">
        <f t="shared" si="1"/>
        <v>0.27854420507535083</v>
      </c>
      <c r="M8" s="26">
        <f t="shared" si="1"/>
        <v>0.27006758404262371</v>
      </c>
      <c r="N8" s="26">
        <f t="shared" si="1"/>
        <v>0.26463146194147202</v>
      </c>
    </row>
    <row r="9" spans="1:14" x14ac:dyDescent="0.3">
      <c r="F9" s="26"/>
      <c r="G9" s="26"/>
      <c r="H9" s="26"/>
      <c r="I9" s="26"/>
      <c r="J9" s="26"/>
      <c r="K9" s="26"/>
      <c r="L9" s="26"/>
      <c r="M9" s="26"/>
      <c r="N9" s="26"/>
    </row>
    <row r="10" spans="1:14" x14ac:dyDescent="0.3">
      <c r="B10" t="s">
        <v>77</v>
      </c>
      <c r="F10" s="26">
        <f>'Balance Sheet'!F20/'Balance Sheet'!F35</f>
        <v>0.13924359860055013</v>
      </c>
      <c r="G10" s="26">
        <f>'Balance Sheet'!G20/'Balance Sheet'!G35</f>
        <v>0.12520348531673284</v>
      </c>
      <c r="H10" s="26">
        <f>'Balance Sheet'!H20/'Balance Sheet'!H35</f>
        <v>0.11670702181945737</v>
      </c>
      <c r="I10" s="26">
        <f>'Balance Sheet'!I20/'Balance Sheet'!I35</f>
        <v>9.1623763619519016E-2</v>
      </c>
      <c r="J10" s="26">
        <f>AVERAGE(F10:I10)</f>
        <v>0.11819446733906484</v>
      </c>
      <c r="K10" s="26">
        <f t="shared" ref="K10:N10" si="2">AVERAGE(G10:J10)</f>
        <v>0.11293218452369352</v>
      </c>
      <c r="L10" s="26">
        <f t="shared" si="2"/>
        <v>0.10986435932543369</v>
      </c>
      <c r="M10" s="26">
        <f t="shared" si="2"/>
        <v>0.10815369370192777</v>
      </c>
      <c r="N10" s="26">
        <f t="shared" si="2"/>
        <v>0.11228617622252997</v>
      </c>
    </row>
    <row r="11" spans="1:14" x14ac:dyDescent="0.3">
      <c r="F11" s="26"/>
      <c r="G11" s="26"/>
      <c r="H11" s="26"/>
      <c r="I11" s="26"/>
      <c r="J11" s="26"/>
      <c r="K11" s="26"/>
      <c r="L11" s="26"/>
      <c r="M11" s="26"/>
      <c r="N11" s="26"/>
    </row>
    <row r="12" spans="1:14" x14ac:dyDescent="0.3">
      <c r="B12" t="s">
        <v>72</v>
      </c>
      <c r="F12" s="28">
        <f>(AVERAGE('Balance Sheet'!F26,'Balance Sheet'!E26)/'P&amp;L'!F12)*365</f>
        <v>68.541033196666945</v>
      </c>
      <c r="G12" s="28">
        <f>(AVERAGE('Balance Sheet'!G26,'Balance Sheet'!F26)/'P&amp;L'!G12)*365</f>
        <v>76.678523756919631</v>
      </c>
      <c r="H12" s="28">
        <f>(AVERAGE('Balance Sheet'!H26,'Balance Sheet'!G26)/'P&amp;L'!H12)*365</f>
        <v>75.674115380394412</v>
      </c>
      <c r="I12" s="28">
        <f>(AVERAGE('Balance Sheet'!I26,'Balance Sheet'!H26)/'P&amp;L'!I12)*365</f>
        <v>77.631146206593726</v>
      </c>
      <c r="J12" s="6">
        <f>AVERAGE(F12:I12)</f>
        <v>74.631204635143675</v>
      </c>
      <c r="K12" s="6">
        <f t="shared" ref="K12:N12" si="3">AVERAGE(G12:J12)</f>
        <v>76.153747494762854</v>
      </c>
      <c r="L12" s="6">
        <f t="shared" si="3"/>
        <v>76.022553429223663</v>
      </c>
      <c r="M12" s="6">
        <f t="shared" si="3"/>
        <v>76.109662941430983</v>
      </c>
      <c r="N12" s="6">
        <f t="shared" si="3"/>
        <v>75.72929212514029</v>
      </c>
    </row>
    <row r="14" spans="1:14" x14ac:dyDescent="0.3">
      <c r="B14" t="s">
        <v>73</v>
      </c>
      <c r="F14" s="26">
        <f>'Balance Sheet'!F27/'Balance Sheet'!F34</f>
        <v>0.72916819692747981</v>
      </c>
      <c r="G14" s="26">
        <f>'Balance Sheet'!G27/'Balance Sheet'!G34</f>
        <v>0.48665984566375975</v>
      </c>
      <c r="H14" s="26">
        <f>'Balance Sheet'!H27/'Balance Sheet'!H34</f>
        <v>0.49336622423692944</v>
      </c>
      <c r="I14" s="26">
        <f>'Balance Sheet'!I27/'Balance Sheet'!I34</f>
        <v>0.56734879846286213</v>
      </c>
      <c r="J14" s="26">
        <f>AVERAGE(F14:I14)</f>
        <v>0.56913576632275775</v>
      </c>
      <c r="K14" s="26">
        <f t="shared" ref="K14:N14" si="4">AVERAGE(G14:J14)</f>
        <v>0.52912765867157729</v>
      </c>
      <c r="L14" s="26">
        <f t="shared" si="4"/>
        <v>0.53974461192353163</v>
      </c>
      <c r="M14" s="26">
        <f t="shared" si="4"/>
        <v>0.55133920884518217</v>
      </c>
      <c r="N14" s="26">
        <f t="shared" si="4"/>
        <v>0.54733681144076218</v>
      </c>
    </row>
    <row r="15" spans="1:14" x14ac:dyDescent="0.3">
      <c r="F15" s="26"/>
      <c r="G15" s="26"/>
      <c r="H15" s="26"/>
      <c r="I15" s="26"/>
      <c r="J15" s="26"/>
      <c r="K15" s="26"/>
      <c r="L15" s="26"/>
      <c r="M15" s="26"/>
      <c r="N15" s="26"/>
    </row>
    <row r="16" spans="1:14" x14ac:dyDescent="0.3">
      <c r="B16" t="s">
        <v>74</v>
      </c>
      <c r="F16" s="26">
        <f>'Balance Sheet'!F29/'P&amp;L'!F5</f>
        <v>9.506601118447916E-2</v>
      </c>
      <c r="G16" s="26">
        <f>'Balance Sheet'!G29/'P&amp;L'!G5</f>
        <v>6.6273327692488948E-2</v>
      </c>
      <c r="H16" s="26">
        <f>'Balance Sheet'!H29/'P&amp;L'!H5</f>
        <v>7.4243165101455219E-2</v>
      </c>
      <c r="I16" s="26">
        <f>'Balance Sheet'!I29/'P&amp;L'!I5</f>
        <v>6.3198174420205588E-2</v>
      </c>
      <c r="J16" s="26">
        <f>AVERAGE(F16:I16)</f>
        <v>7.4695169599657232E-2</v>
      </c>
      <c r="K16" s="26">
        <f t="shared" ref="K16:N16" si="5">AVERAGE(G16:J16)</f>
        <v>6.9602459203451747E-2</v>
      </c>
      <c r="L16" s="26">
        <f t="shared" si="5"/>
        <v>7.043474208119245E-2</v>
      </c>
      <c r="M16" s="26">
        <f t="shared" si="5"/>
        <v>6.9482636326126751E-2</v>
      </c>
      <c r="N16" s="26">
        <f t="shared" si="5"/>
        <v>7.1053751802607035E-2</v>
      </c>
    </row>
    <row r="17" spans="1:18" x14ac:dyDescent="0.3">
      <c r="F17" s="26"/>
      <c r="G17" s="26"/>
      <c r="H17" s="26"/>
      <c r="I17" s="26"/>
      <c r="J17" s="26"/>
      <c r="K17" s="26"/>
      <c r="L17" s="26"/>
      <c r="M17" s="26"/>
      <c r="N17" s="26"/>
    </row>
    <row r="18" spans="1:18" x14ac:dyDescent="0.3">
      <c r="B18" t="s">
        <v>75</v>
      </c>
      <c r="F18" s="26">
        <f>'Balance Sheet'!F38/'P&amp;L'!F5</f>
        <v>6.0684420006439824E-2</v>
      </c>
      <c r="G18" s="26">
        <f>'Balance Sheet'!G38/'P&amp;L'!G5</f>
        <v>3.0159256721287782E-2</v>
      </c>
      <c r="H18" s="26">
        <f>'Balance Sheet'!H38/'P&amp;L'!H5</f>
        <v>1.549295629607857E-2</v>
      </c>
      <c r="I18" s="26">
        <f>'Balance Sheet'!I38/'P&amp;L'!I5</f>
        <v>2.1316595637529686E-2</v>
      </c>
      <c r="J18" s="26">
        <f>AVERAGE(F18:I18)</f>
        <v>3.1913307165333964E-2</v>
      </c>
      <c r="K18" s="26">
        <f t="shared" ref="K18:N18" si="6">AVERAGE(G18:J18)</f>
        <v>2.4720528955057504E-2</v>
      </c>
      <c r="L18" s="26">
        <f t="shared" si="6"/>
        <v>2.3360847013499927E-2</v>
      </c>
      <c r="M18" s="26">
        <f t="shared" si="6"/>
        <v>2.5327819692855271E-2</v>
      </c>
      <c r="N18" s="26">
        <f t="shared" si="6"/>
        <v>2.6330625706686667E-2</v>
      </c>
    </row>
    <row r="19" spans="1:18" x14ac:dyDescent="0.3">
      <c r="F19" s="26"/>
      <c r="G19" s="26"/>
      <c r="H19" s="26"/>
      <c r="I19" s="26"/>
      <c r="J19" s="26"/>
      <c r="K19" s="26"/>
      <c r="L19" s="26"/>
      <c r="M19" s="26"/>
      <c r="N19" s="26"/>
    </row>
    <row r="20" spans="1:18" x14ac:dyDescent="0.3">
      <c r="B20" t="s">
        <v>76</v>
      </c>
      <c r="F20" s="26">
        <f>'Balance Sheet'!F39/'Balance Sheet'!F34</f>
        <v>5.2161883059290703E-2</v>
      </c>
      <c r="G20" s="26">
        <f>'Balance Sheet'!G39/'Balance Sheet'!G34</f>
        <v>0.1102770426221117</v>
      </c>
      <c r="H20" s="26">
        <f>'Balance Sheet'!H39/'Balance Sheet'!H34</f>
        <v>3.2733427439069415E-2</v>
      </c>
      <c r="I20" s="26">
        <f>'Balance Sheet'!I39/'Balance Sheet'!I34</f>
        <v>2.9838397426544715E-2</v>
      </c>
      <c r="J20" s="26">
        <v>3.5000000000000003E-2</v>
      </c>
      <c r="K20" s="26">
        <v>3.5000000000000003E-2</v>
      </c>
      <c r="L20" s="26">
        <v>3.5000000000000003E-2</v>
      </c>
      <c r="M20" s="26">
        <v>3.5000000000000003E-2</v>
      </c>
      <c r="N20" s="26">
        <v>3.5000000000000003E-2</v>
      </c>
      <c r="R20" s="27"/>
    </row>
    <row r="21" spans="1:18" x14ac:dyDescent="0.3">
      <c r="R21" s="27"/>
    </row>
    <row r="22" spans="1:18" x14ac:dyDescent="0.3">
      <c r="A22" s="3" t="s">
        <v>78</v>
      </c>
      <c r="R22" s="27"/>
    </row>
    <row r="24" spans="1:18" x14ac:dyDescent="0.3">
      <c r="B24" t="s">
        <v>79</v>
      </c>
      <c r="F24" s="26">
        <f>'P&amp;L'!F5/'P&amp;L'!E5-1</f>
        <v>0.81826570613785776</v>
      </c>
      <c r="G24" s="26">
        <f>'P&amp;L'!G5/'P&amp;L'!F5-1</f>
        <v>0.21217360876499725</v>
      </c>
      <c r="H24" s="26">
        <f>'P&amp;L'!H5/'P&amp;L'!G5-1</f>
        <v>0.11521869920795491</v>
      </c>
      <c r="I24" s="26">
        <f>'P&amp;L'!I5/'P&amp;L'!H5-1</f>
        <v>0.20255571382162718</v>
      </c>
      <c r="J24" s="26">
        <f>AVERAGE(F24:I24)</f>
        <v>0.33705343198310928</v>
      </c>
      <c r="K24" s="26">
        <f t="shared" ref="K24:N24" si="7">AVERAGE(G24:J24)</f>
        <v>0.21675036344442217</v>
      </c>
      <c r="L24" s="26">
        <f t="shared" si="7"/>
        <v>0.21789455211427838</v>
      </c>
      <c r="M24" s="26">
        <f t="shared" si="7"/>
        <v>0.24356351534085924</v>
      </c>
      <c r="N24" s="26">
        <f t="shared" si="7"/>
        <v>0.25381546572066727</v>
      </c>
    </row>
    <row r="25" spans="1:18" x14ac:dyDescent="0.3">
      <c r="F25" s="26"/>
      <c r="G25" s="26"/>
      <c r="H25" s="26"/>
      <c r="I25" s="26"/>
      <c r="J25" s="26"/>
      <c r="K25" s="26"/>
      <c r="L25" s="26"/>
      <c r="M25" s="26"/>
      <c r="N25" s="26"/>
    </row>
    <row r="26" spans="1:18" x14ac:dyDescent="0.3">
      <c r="B26" t="s">
        <v>80</v>
      </c>
      <c r="F26" s="26">
        <f>'P&amp;L'!F6/'P&amp;L'!F5</f>
        <v>5.2053019234851519E-3</v>
      </c>
      <c r="G26" s="26">
        <f>'P&amp;L'!G6/'P&amp;L'!G5</f>
        <v>6.1350624369151214E-3</v>
      </c>
      <c r="H26" s="26">
        <f>'P&amp;L'!H6/'P&amp;L'!H5</f>
        <v>1.162011901953704E-2</v>
      </c>
      <c r="I26" s="26">
        <f>'P&amp;L'!I6/'P&amp;L'!I5</f>
        <v>5.4535176582687318E-3</v>
      </c>
      <c r="J26" s="26">
        <f>AVERAGE(F26:I26)</f>
        <v>7.1035002595515118E-3</v>
      </c>
      <c r="K26" s="26">
        <f t="shared" ref="K26:N26" si="8">AVERAGE(G26:J26)</f>
        <v>7.5780498435681016E-3</v>
      </c>
      <c r="L26" s="26">
        <f t="shared" si="8"/>
        <v>7.9387966952313462E-3</v>
      </c>
      <c r="M26" s="26">
        <f t="shared" si="8"/>
        <v>7.0184661141549226E-3</v>
      </c>
      <c r="N26" s="26">
        <f t="shared" si="8"/>
        <v>7.409703228126471E-3</v>
      </c>
    </row>
    <row r="27" spans="1:18" x14ac:dyDescent="0.3">
      <c r="F27" s="26"/>
      <c r="G27" s="26"/>
      <c r="H27" s="26"/>
      <c r="I27" s="26"/>
      <c r="J27" s="26"/>
      <c r="K27" s="26"/>
      <c r="L27" s="26"/>
      <c r="M27" s="26"/>
      <c r="N27" s="26"/>
    </row>
    <row r="28" spans="1:18" x14ac:dyDescent="0.3">
      <c r="B28" t="s">
        <v>81</v>
      </c>
      <c r="F28" s="26">
        <f>'P&amp;L'!F7/'P&amp;L'!F5</f>
        <v>5.3729546632008872E-2</v>
      </c>
      <c r="G28" s="26">
        <f>'P&amp;L'!G7/'P&amp;L'!G5</f>
        <v>-1.1681599691141407E-2</v>
      </c>
      <c r="H28" s="26">
        <f>'P&amp;L'!H7/'P&amp;L'!H5</f>
        <v>2.4895725862288134E-2</v>
      </c>
      <c r="I28" s="26">
        <f>'P&amp;L'!I7/'P&amp;L'!I5</f>
        <v>1.607753261904795E-2</v>
      </c>
      <c r="J28" s="26">
        <f>AVERAGE(F28:I28)</f>
        <v>2.0755301355550884E-2</v>
      </c>
      <c r="K28" s="26">
        <f t="shared" ref="K28:N28" si="9">AVERAGE(G28:J28)</f>
        <v>1.2511740036436391E-2</v>
      </c>
      <c r="L28" s="26">
        <f t="shared" si="9"/>
        <v>1.8560074968330838E-2</v>
      </c>
      <c r="M28" s="26">
        <f t="shared" si="9"/>
        <v>1.6976162244841515E-2</v>
      </c>
      <c r="N28" s="26">
        <f t="shared" si="9"/>
        <v>1.7200819651289907E-2</v>
      </c>
    </row>
    <row r="29" spans="1:18" x14ac:dyDescent="0.3">
      <c r="F29" s="26"/>
      <c r="G29" s="26"/>
      <c r="H29" s="26"/>
      <c r="I29" s="26"/>
      <c r="J29" s="26"/>
      <c r="K29" s="26"/>
      <c r="L29" s="26"/>
      <c r="M29" s="26"/>
      <c r="N29" s="26"/>
    </row>
    <row r="30" spans="1:18" x14ac:dyDescent="0.3">
      <c r="B30" t="s">
        <v>82</v>
      </c>
      <c r="F30" s="26">
        <f>'P&amp;L'!F11/'P&amp;L'!F5</f>
        <v>5.8880030784138411E-4</v>
      </c>
      <c r="G30" s="26">
        <f>'P&amp;L'!G11/'P&amp;L'!G5</f>
        <v>6.4793997777294011E-3</v>
      </c>
      <c r="H30" s="26">
        <f>'P&amp;L'!H11/'P&amp;L'!H5</f>
        <v>2.4123581216581621E-3</v>
      </c>
      <c r="I30" s="26">
        <f>'P&amp;L'!I11/'P&amp;L'!I5</f>
        <v>4.2098655162168333E-3</v>
      </c>
      <c r="J30" s="26">
        <f>AVERAGE(F30:I30)</f>
        <v>3.4226059308614452E-3</v>
      </c>
      <c r="K30" s="26">
        <f t="shared" ref="K30:N30" si="10">AVERAGE(G30:J30)</f>
        <v>4.13105733661646E-3</v>
      </c>
      <c r="L30" s="26">
        <f t="shared" si="10"/>
        <v>3.5439717263382256E-3</v>
      </c>
      <c r="M30" s="26">
        <f t="shared" si="10"/>
        <v>3.8268751275082414E-3</v>
      </c>
      <c r="N30" s="26">
        <f t="shared" si="10"/>
        <v>3.7311275303310932E-3</v>
      </c>
    </row>
    <row r="31" spans="1:18" x14ac:dyDescent="0.3">
      <c r="F31" s="26"/>
      <c r="G31" s="26"/>
      <c r="H31" s="26"/>
      <c r="I31" s="26"/>
      <c r="J31" s="26"/>
      <c r="K31" s="26"/>
      <c r="L31" s="26"/>
      <c r="M31" s="26"/>
      <c r="N31" s="26"/>
    </row>
    <row r="32" spans="1:18" x14ac:dyDescent="0.3">
      <c r="B32" t="s">
        <v>83</v>
      </c>
      <c r="F32" s="26">
        <f>'P&amp;L'!F12/'P&amp;L'!F5</f>
        <v>0.70418253851095047</v>
      </c>
      <c r="G32" s="26">
        <f>'P&amp;L'!G12/'P&amp;L'!G5</f>
        <v>0.64370938582999593</v>
      </c>
      <c r="H32" s="26">
        <f>'P&amp;L'!H12/'P&amp;L'!H5</f>
        <v>0.62313456859018368</v>
      </c>
      <c r="I32" s="26">
        <f>'P&amp;L'!I12/'P&amp;L'!I5</f>
        <v>0.67046192313479813</v>
      </c>
      <c r="J32" s="26">
        <f>AVERAGE(F32:I32)</f>
        <v>0.66037210401648205</v>
      </c>
      <c r="K32" s="26">
        <f t="shared" ref="K32:N32" si="11">AVERAGE(G32:J32)</f>
        <v>0.64941949539286492</v>
      </c>
      <c r="L32" s="26">
        <f t="shared" si="11"/>
        <v>0.6508470227835822</v>
      </c>
      <c r="M32" s="26">
        <f t="shared" si="11"/>
        <v>0.65777513633193185</v>
      </c>
      <c r="N32" s="26">
        <f t="shared" si="11"/>
        <v>0.65460343963121526</v>
      </c>
    </row>
    <row r="33" spans="2:14" x14ac:dyDescent="0.3">
      <c r="F33" s="26"/>
      <c r="G33" s="26"/>
      <c r="H33" s="26"/>
      <c r="I33" s="26"/>
      <c r="J33" s="26"/>
      <c r="K33" s="26"/>
      <c r="L33" s="26"/>
      <c r="M33" s="26"/>
      <c r="N33" s="26"/>
    </row>
    <row r="34" spans="2:14" x14ac:dyDescent="0.3">
      <c r="B34" t="s">
        <v>86</v>
      </c>
      <c r="F34" s="26">
        <f>'P&amp;L'!F13/'P&amp;L'!F5</f>
        <v>3.7669011416993532E-2</v>
      </c>
      <c r="G34" s="26">
        <f>'P&amp;L'!G13/'P&amp;L'!G5</f>
        <v>3.9304193186846574E-2</v>
      </c>
      <c r="H34" s="26">
        <f>'P&amp;L'!H13/'P&amp;L'!H5</f>
        <v>4.2588732179194344E-2</v>
      </c>
      <c r="I34" s="26">
        <f>'P&amp;L'!I13/'P&amp;L'!I5</f>
        <v>4.3998795821075763E-2</v>
      </c>
      <c r="J34" s="26">
        <f>AVERAGE(F34:I34)</f>
        <v>4.0890183151027555E-2</v>
      </c>
      <c r="K34" s="26">
        <f t="shared" ref="K34:N34" si="12">AVERAGE(G34:J34)</f>
        <v>4.1695476084536061E-2</v>
      </c>
      <c r="L34" s="26">
        <f t="shared" si="12"/>
        <v>4.2293296808958429E-2</v>
      </c>
      <c r="M34" s="26">
        <f t="shared" si="12"/>
        <v>4.2219437966399452E-2</v>
      </c>
      <c r="N34" s="26">
        <f t="shared" si="12"/>
        <v>4.1774598502730374E-2</v>
      </c>
    </row>
    <row r="35" spans="2:14" x14ac:dyDescent="0.3">
      <c r="F35" s="26"/>
      <c r="G35" s="26"/>
      <c r="H35" s="26"/>
      <c r="I35" s="26"/>
      <c r="J35" s="26"/>
      <c r="K35" s="26"/>
      <c r="L35" s="26"/>
      <c r="M35" s="26"/>
      <c r="N35" s="26"/>
    </row>
    <row r="36" spans="2:14" x14ac:dyDescent="0.3">
      <c r="B36" s="23" t="s">
        <v>84</v>
      </c>
      <c r="F36" s="26">
        <f>'P&amp;L'!F14/'P&amp;L'!F5</f>
        <v>0.14555601126912959</v>
      </c>
      <c r="G36" s="26">
        <f>'P&amp;L'!G14/'P&amp;L'!G5</f>
        <v>0.169835616010483</v>
      </c>
      <c r="H36" s="26">
        <f>'P&amp;L'!H14/'P&amp;L'!H5</f>
        <v>0.15915216858665793</v>
      </c>
      <c r="I36" s="26">
        <f>'P&amp;L'!I14/'P&amp;L'!I5</f>
        <v>0.15150854513978673</v>
      </c>
      <c r="J36" s="26">
        <f>AVERAGE(F36:I36)</f>
        <v>0.15651308525151431</v>
      </c>
      <c r="K36" s="26">
        <f t="shared" ref="K36:N36" si="13">AVERAGE(G36:J36)</f>
        <v>0.1592523537471105</v>
      </c>
      <c r="L36" s="26">
        <f t="shared" si="13"/>
        <v>0.15660653818126735</v>
      </c>
      <c r="M36" s="26">
        <f t="shared" si="13"/>
        <v>0.15597013057991971</v>
      </c>
      <c r="N36" s="26">
        <f t="shared" si="13"/>
        <v>0.15708552693995298</v>
      </c>
    </row>
    <row r="37" spans="2:14" x14ac:dyDescent="0.3">
      <c r="F37" s="26"/>
      <c r="G37" s="26"/>
      <c r="H37" s="26"/>
      <c r="I37" s="26"/>
      <c r="J37" s="26"/>
      <c r="K37" s="26"/>
      <c r="L37" s="26"/>
      <c r="M37" s="26"/>
      <c r="N37" s="26"/>
    </row>
    <row r="38" spans="2:14" x14ac:dyDescent="0.3">
      <c r="B38" t="s">
        <v>85</v>
      </c>
      <c r="F38" s="26">
        <f>'P&amp;L'!F15/'P&amp;L'!F5</f>
        <v>1.7241514869921891E-3</v>
      </c>
      <c r="G38" s="26">
        <f>'P&amp;L'!G15/'P&amp;L'!G5</f>
        <v>1.5165850852965437E-3</v>
      </c>
      <c r="H38" s="26">
        <f>'P&amp;L'!H15/'P&amp;L'!H5</f>
        <v>1.4059706504079019E-3</v>
      </c>
      <c r="I38" s="26">
        <f>'P&amp;L'!I15/'P&amp;L'!I5</f>
        <v>1.3468865214845719E-3</v>
      </c>
      <c r="J38" s="26">
        <f>AVERAGE(F38:I38)</f>
        <v>1.4983984360453018E-3</v>
      </c>
      <c r="K38" s="26">
        <f t="shared" ref="K38:N38" si="14">AVERAGE(G38:J38)</f>
        <v>1.4419601733085799E-3</v>
      </c>
      <c r="L38" s="26">
        <f t="shared" si="14"/>
        <v>1.4233039453115889E-3</v>
      </c>
      <c r="M38" s="26">
        <f t="shared" si="14"/>
        <v>1.4276372690375108E-3</v>
      </c>
      <c r="N38" s="26">
        <f t="shared" si="14"/>
        <v>1.4478249559257454E-3</v>
      </c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9D980-7AD6-4DE6-89A0-EEC1CC6B781F}">
  <dimension ref="A1:N46"/>
  <sheetViews>
    <sheetView showGridLines="0" zoomScaleNormal="10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G44" sqref="G44"/>
    </sheetView>
  </sheetViews>
  <sheetFormatPr defaultRowHeight="14.4" x14ac:dyDescent="0.3"/>
  <cols>
    <col min="1" max="1" width="3" customWidth="1"/>
    <col min="2" max="2" width="3.109375" customWidth="1"/>
    <col min="3" max="3" width="30.6640625" customWidth="1"/>
    <col min="4" max="4" width="2.21875" customWidth="1"/>
    <col min="5" max="5" width="9.5546875" customWidth="1"/>
    <col min="6" max="8" width="9.5546875" bestFit="1" customWidth="1"/>
    <col min="9" max="9" width="10.5546875" bestFit="1" customWidth="1"/>
  </cols>
  <sheetData>
    <row r="1" spans="1:14" ht="18" x14ac:dyDescent="0.35">
      <c r="A1" s="2" t="s">
        <v>12</v>
      </c>
      <c r="E1" s="39" t="s">
        <v>11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3">
      <c r="A2" s="1" t="s">
        <v>0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7</v>
      </c>
      <c r="L2" s="18" t="s">
        <v>8</v>
      </c>
      <c r="M2" s="18" t="s">
        <v>9</v>
      </c>
      <c r="N2" s="18" t="s">
        <v>10</v>
      </c>
    </row>
    <row r="3" spans="1:14" x14ac:dyDescent="0.3"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3">
      <c r="A4" s="3" t="s">
        <v>67</v>
      </c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3">
      <c r="B5" s="3" t="s">
        <v>38</v>
      </c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3">
      <c r="C6" t="s">
        <v>39</v>
      </c>
      <c r="E6" s="25">
        <v>73.530458300000006</v>
      </c>
      <c r="F6" s="25">
        <v>102.7373819</v>
      </c>
      <c r="G6" s="25">
        <v>113.7968083</v>
      </c>
      <c r="H6" s="25">
        <v>165.63901200000001</v>
      </c>
      <c r="I6" s="25">
        <v>191.8887158</v>
      </c>
      <c r="J6" s="20">
        <f>Assumptions!J6*'Balance Sheet'!J34</f>
        <v>189.97818366807957</v>
      </c>
      <c r="K6" s="20">
        <f>Assumptions!K6*'Balance Sheet'!K34</f>
        <v>204.81535628517594</v>
      </c>
      <c r="L6" s="20">
        <f>Assumptions!L6*'Balance Sheet'!L34</f>
        <v>226.83758211157459</v>
      </c>
      <c r="M6" s="20">
        <f>Assumptions!M6*'Balance Sheet'!M34</f>
        <v>236.31615391683943</v>
      </c>
      <c r="N6" s="20">
        <f>Assumptions!N6*'Balance Sheet'!N34</f>
        <v>238.83912648059044</v>
      </c>
    </row>
    <row r="7" spans="1:14" x14ac:dyDescent="0.3">
      <c r="C7" t="s">
        <v>40</v>
      </c>
      <c r="E7" s="25">
        <v>57.696802699999999</v>
      </c>
      <c r="F7" s="25">
        <v>76.675609199999997</v>
      </c>
      <c r="G7" s="25">
        <v>70.512362899999999</v>
      </c>
      <c r="H7" s="25">
        <v>153.4466352</v>
      </c>
      <c r="I7" s="25">
        <v>157.21541450000001</v>
      </c>
      <c r="J7" s="20">
        <f>Assumptions!J8*'Balance Sheet'!J34</f>
        <v>149.58225564457851</v>
      </c>
      <c r="K7" s="20">
        <f>Assumptions!K8*'Balance Sheet'!K34</f>
        <v>163.43239412902685</v>
      </c>
      <c r="L7" s="20">
        <f>Assumptions!L8*'Balance Sheet'!L34</f>
        <v>189.06734069468655</v>
      </c>
      <c r="M7" s="20">
        <f>Assumptions!M8*'Balance Sheet'!M34</f>
        <v>191.41569548635013</v>
      </c>
      <c r="N7" s="20">
        <f>Assumptions!N8*'Balance Sheet'!N34</f>
        <v>192.85536659831146</v>
      </c>
    </row>
    <row r="8" spans="1:14" x14ac:dyDescent="0.3">
      <c r="A8" s="14"/>
      <c r="B8" s="14"/>
      <c r="C8" s="15" t="s">
        <v>41</v>
      </c>
      <c r="D8" s="14"/>
      <c r="E8" s="21">
        <f>SUM(E6:E7)</f>
        <v>131.227261</v>
      </c>
      <c r="F8" s="21">
        <f t="shared" ref="F8:I8" si="0">SUM(F6:F7)</f>
        <v>179.4129911</v>
      </c>
      <c r="G8" s="21">
        <f t="shared" si="0"/>
        <v>184.30917119999998</v>
      </c>
      <c r="H8" s="21">
        <f t="shared" si="0"/>
        <v>319.08564720000004</v>
      </c>
      <c r="I8" s="21">
        <f t="shared" si="0"/>
        <v>349.10413030000001</v>
      </c>
      <c r="J8" s="21">
        <f>SUM(J6:J7)</f>
        <v>339.5604393126581</v>
      </c>
      <c r="K8" s="21">
        <f t="shared" ref="K8:N8" si="1">SUM(K6:K7)</f>
        <v>368.24775041420276</v>
      </c>
      <c r="L8" s="21">
        <f t="shared" si="1"/>
        <v>415.90492280626114</v>
      </c>
      <c r="M8" s="21">
        <f t="shared" si="1"/>
        <v>427.73184940318959</v>
      </c>
      <c r="N8" s="21">
        <f t="shared" si="1"/>
        <v>431.69449307890193</v>
      </c>
    </row>
    <row r="9" spans="1:14" x14ac:dyDescent="0.3"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3">
      <c r="B10" s="3" t="s">
        <v>42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3">
      <c r="C11" t="s">
        <v>43</v>
      </c>
      <c r="E11" s="25">
        <v>11.387499999999999</v>
      </c>
      <c r="F11" s="25">
        <v>11.387499999999999</v>
      </c>
      <c r="G11" s="25">
        <v>17.081250000000001</v>
      </c>
      <c r="H11" s="25">
        <v>17.081250000000001</v>
      </c>
      <c r="I11" s="25">
        <v>17.081250000000001</v>
      </c>
      <c r="J11" s="20">
        <f>'Reserves schedule '!J4</f>
        <v>17.081250000000001</v>
      </c>
      <c r="K11" s="20">
        <f>'Reserves schedule '!K4</f>
        <v>17.081250000000001</v>
      </c>
      <c r="L11" s="20">
        <f>'Reserves schedule '!L4</f>
        <v>17.081250000000001</v>
      </c>
      <c r="M11" s="20">
        <f>'Reserves schedule '!M4</f>
        <v>17.081250000000001</v>
      </c>
      <c r="N11" s="20">
        <f>'Reserves schedule '!N4</f>
        <v>17.081250000000001</v>
      </c>
    </row>
    <row r="12" spans="1:14" x14ac:dyDescent="0.3">
      <c r="C12" t="s">
        <v>44</v>
      </c>
      <c r="E12" s="25">
        <v>232.27826769999999</v>
      </c>
      <c r="F12" s="25">
        <v>321.71394700000002</v>
      </c>
      <c r="G12" s="25">
        <v>388.50518440000002</v>
      </c>
      <c r="H12" s="25">
        <v>526.56146899999999</v>
      </c>
      <c r="I12" s="25">
        <v>628.84593270000005</v>
      </c>
      <c r="J12" s="20">
        <f>'Reserves schedule '!J17</f>
        <v>819.43623347187668</v>
      </c>
      <c r="K12" s="20">
        <f>'Reserves schedule '!K17</f>
        <v>1050.9781255473727</v>
      </c>
      <c r="L12" s="20">
        <f>'Reserves schedule '!L17</f>
        <v>1346.1276771157784</v>
      </c>
      <c r="M12" s="20">
        <f>'Reserves schedule '!M17</f>
        <v>1691.8097465555725</v>
      </c>
      <c r="N12" s="20">
        <f>'Reserves schedule '!N17</f>
        <v>2139.7612558728583</v>
      </c>
    </row>
    <row r="13" spans="1:14" x14ac:dyDescent="0.3">
      <c r="A13" s="14"/>
      <c r="B13" s="14"/>
      <c r="C13" s="15" t="s">
        <v>45</v>
      </c>
      <c r="D13" s="14"/>
      <c r="E13" s="21">
        <f>SUM(E11:E12)</f>
        <v>243.66576769999998</v>
      </c>
      <c r="F13" s="21">
        <f t="shared" ref="F13:N13" si="2">SUM(F11:F12)</f>
        <v>333.10144700000001</v>
      </c>
      <c r="G13" s="21">
        <f t="shared" si="2"/>
        <v>405.58643440000003</v>
      </c>
      <c r="H13" s="21">
        <f t="shared" si="2"/>
        <v>543.64271899999994</v>
      </c>
      <c r="I13" s="21">
        <f t="shared" si="2"/>
        <v>645.9271827</v>
      </c>
      <c r="J13" s="21">
        <f t="shared" si="2"/>
        <v>836.51748347187663</v>
      </c>
      <c r="K13" s="21">
        <f t="shared" si="2"/>
        <v>1068.0593755473726</v>
      </c>
      <c r="L13" s="21">
        <f t="shared" si="2"/>
        <v>1363.2089271157784</v>
      </c>
      <c r="M13" s="21">
        <f t="shared" si="2"/>
        <v>1708.8909965555724</v>
      </c>
      <c r="N13" s="21">
        <f t="shared" si="2"/>
        <v>2156.8425058728585</v>
      </c>
    </row>
    <row r="14" spans="1:14" x14ac:dyDescent="0.3">
      <c r="B14" s="10"/>
      <c r="C14" s="11"/>
      <c r="D14" s="1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3">
      <c r="B15" s="3" t="s">
        <v>46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x14ac:dyDescent="0.3">
      <c r="C16" t="s">
        <v>47</v>
      </c>
      <c r="E16" s="25">
        <v>107.4874049</v>
      </c>
      <c r="F16" s="25">
        <v>226.65455019999999</v>
      </c>
      <c r="G16" s="25">
        <v>207.83228629999999</v>
      </c>
      <c r="H16" s="25">
        <v>27.294677</v>
      </c>
      <c r="I16" s="25">
        <v>24.044381000000001</v>
      </c>
      <c r="J16" s="20">
        <f>'Debt Schedule '!J8</f>
        <v>24.037404899999984</v>
      </c>
      <c r="K16" s="20">
        <f>'Debt Schedule '!K8</f>
        <v>24.037404899999984</v>
      </c>
      <c r="L16" s="20">
        <f>'Debt Schedule '!L8</f>
        <v>24.037404899999984</v>
      </c>
      <c r="M16" s="20">
        <f>'Debt Schedule '!M8</f>
        <v>24.037404899999984</v>
      </c>
      <c r="N16" s="20">
        <f>'Debt Schedule '!N8</f>
        <v>24.037404899999984</v>
      </c>
    </row>
    <row r="17" spans="1:14" x14ac:dyDescent="0.3">
      <c r="C17" t="s">
        <v>48</v>
      </c>
      <c r="E17" s="25">
        <v>33.220983099999998</v>
      </c>
      <c r="F17" s="25">
        <v>89.607505799999998</v>
      </c>
      <c r="G17" s="25">
        <v>78.038707099999996</v>
      </c>
      <c r="H17" s="25">
        <v>63.894768999999997</v>
      </c>
      <c r="I17" s="25">
        <v>71.001648200000005</v>
      </c>
      <c r="J17" s="20">
        <f>'Debt Schedule '!J15</f>
        <v>71.000983099999999</v>
      </c>
      <c r="K17" s="20">
        <f>'Debt Schedule '!K15</f>
        <v>71.000983099999999</v>
      </c>
      <c r="L17" s="20">
        <f>'Debt Schedule '!L15</f>
        <v>71.000983099999999</v>
      </c>
      <c r="M17" s="20">
        <f>'Debt Schedule '!M15</f>
        <v>71.000983099999999</v>
      </c>
      <c r="N17" s="20">
        <f>'Debt Schedule '!N15</f>
        <v>71.000983099999999</v>
      </c>
    </row>
    <row r="18" spans="1:14" x14ac:dyDescent="0.3">
      <c r="A18" s="14"/>
      <c r="B18" s="14"/>
      <c r="C18" s="15" t="s">
        <v>49</v>
      </c>
      <c r="D18" s="14"/>
      <c r="E18" s="21">
        <f>SUM(E16:E17)</f>
        <v>140.70838800000001</v>
      </c>
      <c r="F18" s="21">
        <f t="shared" ref="F18:I18" si="3">SUM(F16:F17)</f>
        <v>316.26205599999997</v>
      </c>
      <c r="G18" s="21">
        <f t="shared" si="3"/>
        <v>285.87099339999997</v>
      </c>
      <c r="H18" s="21">
        <f t="shared" si="3"/>
        <v>91.189446000000004</v>
      </c>
      <c r="I18" s="21">
        <f t="shared" si="3"/>
        <v>95.046029200000007</v>
      </c>
      <c r="J18" s="21">
        <f>SUM(J16:J17)</f>
        <v>95.038387999999983</v>
      </c>
      <c r="K18" s="21">
        <f t="shared" ref="K18:N18" si="4">SUM(K16:K17)</f>
        <v>95.038387999999983</v>
      </c>
      <c r="L18" s="21">
        <f t="shared" si="4"/>
        <v>95.038387999999983</v>
      </c>
      <c r="M18" s="21">
        <f t="shared" si="4"/>
        <v>95.038387999999983</v>
      </c>
      <c r="N18" s="21">
        <f t="shared" si="4"/>
        <v>95.038387999999983</v>
      </c>
    </row>
    <row r="19" spans="1:14" x14ac:dyDescent="0.3"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x14ac:dyDescent="0.3">
      <c r="C20" t="s">
        <v>50</v>
      </c>
      <c r="E20" s="25">
        <v>13.6092961</v>
      </c>
      <c r="F20" s="25">
        <v>16.950605500000002</v>
      </c>
      <c r="G20" s="25">
        <v>18.250832299999999</v>
      </c>
      <c r="H20" s="25">
        <v>21.6352878</v>
      </c>
      <c r="I20" s="25">
        <v>20.4933707</v>
      </c>
      <c r="J20" s="20">
        <f>Assumptions!J10*'Asset Schedule'!J14</f>
        <v>31.825128875150178</v>
      </c>
      <c r="K20" s="20">
        <f>Assumptions!K10*'Asset Schedule'!K14</f>
        <v>35.993313327324564</v>
      </c>
      <c r="L20" s="20">
        <f>Assumptions!L10*'Asset Schedule'!L14</f>
        <v>40.789178752188711</v>
      </c>
      <c r="M20" s="20">
        <f>Assumptions!M10*'Asset Schedule'!M14</f>
        <v>46.089001252597058</v>
      </c>
      <c r="N20" s="20">
        <f>Assumptions!N10*'Asset Schedule'!N14</f>
        <v>54.18561165553912</v>
      </c>
    </row>
    <row r="21" spans="1:14" x14ac:dyDescent="0.3"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 thickBot="1" x14ac:dyDescent="0.35">
      <c r="A22" s="16"/>
      <c r="B22" s="16"/>
      <c r="C22" s="17" t="s">
        <v>51</v>
      </c>
      <c r="D22" s="16"/>
      <c r="E22" s="22">
        <f>E8+E13+E18+E20</f>
        <v>529.21071280000001</v>
      </c>
      <c r="F22" s="22">
        <f t="shared" ref="F22:N22" si="5">F8+F13+F18+F20</f>
        <v>845.72709960000009</v>
      </c>
      <c r="G22" s="22">
        <f t="shared" si="5"/>
        <v>894.01743129999988</v>
      </c>
      <c r="H22" s="22">
        <f t="shared" si="5"/>
        <v>975.55309999999997</v>
      </c>
      <c r="I22" s="22">
        <f t="shared" si="5"/>
        <v>1110.5707129</v>
      </c>
      <c r="J22" s="22">
        <f t="shared" si="5"/>
        <v>1302.9414396596846</v>
      </c>
      <c r="K22" s="22">
        <f t="shared" si="5"/>
        <v>1567.3388272888999</v>
      </c>
      <c r="L22" s="22">
        <f t="shared" si="5"/>
        <v>1914.9414166742281</v>
      </c>
      <c r="M22" s="22">
        <f t="shared" si="5"/>
        <v>2277.7502352113588</v>
      </c>
      <c r="N22" s="22">
        <f t="shared" si="5"/>
        <v>2737.7609986072994</v>
      </c>
    </row>
    <row r="23" spans="1:14" ht="15" thickTop="1" x14ac:dyDescent="0.3"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3">
      <c r="A24" s="3" t="s">
        <v>52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x14ac:dyDescent="0.3">
      <c r="B25" s="3" t="s">
        <v>53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x14ac:dyDescent="0.3">
      <c r="C26" t="s">
        <v>54</v>
      </c>
      <c r="E26" s="25">
        <v>92.171341499999997</v>
      </c>
      <c r="F26" s="25">
        <v>194.33357040000001</v>
      </c>
      <c r="G26" s="25">
        <v>160.8268673</v>
      </c>
      <c r="H26" s="25">
        <v>217.57235750000001</v>
      </c>
      <c r="I26" s="25">
        <v>284.69663020000002</v>
      </c>
      <c r="J26" s="20">
        <f>2*(Assumptions!J12*('P&amp;L'!J12/365))-'Balance Sheet'!I26</f>
        <v>351.19656971168189</v>
      </c>
      <c r="K26" s="20">
        <f>2*(Assumptions!K12*('P&amp;L'!K12/365))-'Balance Sheet'!J26</f>
        <v>425.21696238690862</v>
      </c>
      <c r="L26" s="20">
        <f>2*(Assumptions!L12*('P&amp;L'!L12/365))-'Balance Sheet'!K26</f>
        <v>520.81880728392048</v>
      </c>
      <c r="M26" s="20">
        <f>2*(Assumptions!M12*('P&amp;L'!M12/365))-'Balance Sheet'!L26</f>
        <v>669.5222296679201</v>
      </c>
      <c r="N26" s="20">
        <f>2*(Assumptions!N12*('P&amp;L'!N12/365))-'Balance Sheet'!M26</f>
        <v>808.32641298652766</v>
      </c>
    </row>
    <row r="27" spans="1:14" x14ac:dyDescent="0.3">
      <c r="C27" t="s">
        <v>55</v>
      </c>
      <c r="E27" s="25">
        <v>145.95449769999999</v>
      </c>
      <c r="F27" s="25">
        <v>226.4682019</v>
      </c>
      <c r="G27" s="25">
        <v>207.84930399999999</v>
      </c>
      <c r="H27" s="25">
        <v>242.2954714</v>
      </c>
      <c r="I27" s="25">
        <v>305.66239350000001</v>
      </c>
      <c r="J27" s="20">
        <f>J34*Assumptions!J14</f>
        <v>335.08984163823465</v>
      </c>
      <c r="K27" s="20">
        <f>K34*Assumptions!K14</f>
        <v>337.99066674121184</v>
      </c>
      <c r="L27" s="20">
        <f>L34*Assumptions!L14</f>
        <v>366.36223827762643</v>
      </c>
      <c r="M27" s="20">
        <f>M34*Assumptions!M14</f>
        <v>390.77247454229246</v>
      </c>
      <c r="N27" s="20">
        <f>N34*Assumptions!N14</f>
        <v>398.88243313451841</v>
      </c>
    </row>
    <row r="28" spans="1:14" x14ac:dyDescent="0.3">
      <c r="C28" t="s">
        <v>56</v>
      </c>
      <c r="E28" s="25">
        <v>25.600027999999998</v>
      </c>
      <c r="F28" s="25">
        <v>51.145373900000003</v>
      </c>
      <c r="G28" s="25">
        <v>70.285180600000004</v>
      </c>
      <c r="H28" s="25">
        <v>62.467242900000002</v>
      </c>
      <c r="I28" s="25">
        <v>40.208412099999997</v>
      </c>
      <c r="J28" s="6">
        <f>'Cash Flow'!J42</f>
        <v>25.506910796059543</v>
      </c>
      <c r="K28" s="6">
        <f>'Cash Flow'!K42</f>
        <v>191.47629355247966</v>
      </c>
      <c r="L28" s="6">
        <f>'Cash Flow'!L42</f>
        <v>369.21331047662625</v>
      </c>
      <c r="M28" s="6">
        <f>'Cash Flow'!M42</f>
        <v>498.61406028887126</v>
      </c>
      <c r="N28" s="6">
        <f>'Cash Flow'!N42</f>
        <v>729.00854511188834</v>
      </c>
    </row>
    <row r="29" spans="1:14" x14ac:dyDescent="0.3">
      <c r="C29" t="s">
        <v>57</v>
      </c>
      <c r="E29" s="25">
        <v>85.982405400000005</v>
      </c>
      <c r="F29" s="25">
        <v>102.98745220000001</v>
      </c>
      <c r="G29" s="25">
        <v>87.0287297</v>
      </c>
      <c r="H29" s="25">
        <v>108.7277467</v>
      </c>
      <c r="I29" s="25">
        <v>111.29961160000001</v>
      </c>
      <c r="J29" s="20">
        <f>Assumptions!J16*'P&amp;L'!J5</f>
        <v>175.88564527179054</v>
      </c>
      <c r="K29" s="20">
        <f>Assumptions!K16*'P&amp;L'!K5</f>
        <v>199.41781240783121</v>
      </c>
      <c r="L29" s="20">
        <f>Assumptions!L16*'P&amp;L'!L5</f>
        <v>245.77402379419149</v>
      </c>
      <c r="M29" s="20">
        <f>Assumptions!M16*'P&amp;L'!M5</f>
        <v>301.50416174740673</v>
      </c>
      <c r="N29" s="20">
        <f>Assumptions!N16*'P&amp;L'!N5</f>
        <v>386.57846758340759</v>
      </c>
    </row>
    <row r="30" spans="1:14" x14ac:dyDescent="0.3">
      <c r="C30" t="s">
        <v>58</v>
      </c>
      <c r="E30" s="25">
        <v>0.31105680000000002</v>
      </c>
      <c r="F30" s="25">
        <v>0</v>
      </c>
      <c r="G30" s="25">
        <v>0</v>
      </c>
      <c r="H30" s="25">
        <v>0</v>
      </c>
      <c r="I30" s="25">
        <v>0</v>
      </c>
      <c r="J30" s="20">
        <f>I30</f>
        <v>0</v>
      </c>
      <c r="K30" s="20">
        <f t="shared" ref="K30:N30" si="6">J30</f>
        <v>0</v>
      </c>
      <c r="L30" s="20">
        <f t="shared" si="6"/>
        <v>0</v>
      </c>
      <c r="M30" s="20">
        <f t="shared" si="6"/>
        <v>0</v>
      </c>
      <c r="N30" s="20">
        <f t="shared" si="6"/>
        <v>0</v>
      </c>
    </row>
    <row r="31" spans="1:14" x14ac:dyDescent="0.3">
      <c r="A31" s="14"/>
      <c r="B31" s="14"/>
      <c r="C31" s="15" t="s">
        <v>59</v>
      </c>
      <c r="D31" s="14"/>
      <c r="E31" s="21">
        <f>SUM(E26:E30)</f>
        <v>350.0193294</v>
      </c>
      <c r="F31" s="21">
        <f t="shared" ref="F31:I31" si="7">SUM(F26:F30)</f>
        <v>574.93459840000003</v>
      </c>
      <c r="G31" s="21">
        <f t="shared" si="7"/>
        <v>525.99008159999994</v>
      </c>
      <c r="H31" s="21">
        <f t="shared" si="7"/>
        <v>631.06281850000005</v>
      </c>
      <c r="I31" s="21">
        <f t="shared" si="7"/>
        <v>741.86704740000016</v>
      </c>
      <c r="J31" s="21">
        <f>SUM(J26:J30)</f>
        <v>887.67896741776656</v>
      </c>
      <c r="K31" s="21">
        <f t="shared" ref="K31:N31" si="8">SUM(K26:K30)</f>
        <v>1154.1017350884313</v>
      </c>
      <c r="L31" s="21">
        <f t="shared" si="8"/>
        <v>1502.1683798323645</v>
      </c>
      <c r="M31" s="21">
        <f t="shared" si="8"/>
        <v>1860.4129262464905</v>
      </c>
      <c r="N31" s="21">
        <f t="shared" si="8"/>
        <v>2322.7958588163419</v>
      </c>
    </row>
    <row r="32" spans="1:14" x14ac:dyDescent="0.3">
      <c r="B32" s="10"/>
      <c r="C32" s="10"/>
      <c r="D32" s="1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x14ac:dyDescent="0.3">
      <c r="B33" s="3" t="s">
        <v>60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3">
      <c r="C34" t="s">
        <v>61</v>
      </c>
      <c r="E34" s="25">
        <v>257.77860729999998</v>
      </c>
      <c r="F34" s="25">
        <v>310.58431080000003</v>
      </c>
      <c r="G34" s="25">
        <v>427.09359699999999</v>
      </c>
      <c r="H34" s="25">
        <v>491.1067266</v>
      </c>
      <c r="I34" s="25">
        <v>538.7556902</v>
      </c>
      <c r="J34" s="20">
        <f>'Asset Schedule'!J8</f>
        <v>588.76960729999996</v>
      </c>
      <c r="K34" s="20">
        <f>'Asset Schedule'!K8</f>
        <v>638.76960729999996</v>
      </c>
      <c r="L34" s="20">
        <f>'Asset Schedule'!L8</f>
        <v>678.76960729999996</v>
      </c>
      <c r="M34" s="20">
        <f>'Asset Schedule'!M8</f>
        <v>708.76960729999996</v>
      </c>
      <c r="N34" s="20">
        <f>'Asset Schedule'!N8</f>
        <v>728.76960729999996</v>
      </c>
    </row>
    <row r="35" spans="1:14" x14ac:dyDescent="0.3">
      <c r="C35" t="s">
        <v>62</v>
      </c>
      <c r="E35" s="25">
        <v>100.9481492</v>
      </c>
      <c r="F35" s="25">
        <v>121.7334633</v>
      </c>
      <c r="G35" s="25">
        <v>145.769363</v>
      </c>
      <c r="H35" s="25">
        <v>185.38120040000001</v>
      </c>
      <c r="I35" s="25">
        <v>223.66872839999999</v>
      </c>
      <c r="J35" s="20">
        <f>'Asset Schedule'!J14</f>
        <v>269.2607326860176</v>
      </c>
      <c r="K35" s="20">
        <f>'Asset Schedule'!K14</f>
        <v>318.71617005489747</v>
      </c>
      <c r="L35" s="20">
        <f>'Asset Schedule'!L14</f>
        <v>371.26852605006712</v>
      </c>
      <c r="M35" s="20">
        <f>'Asset Schedule'!M14</f>
        <v>426.14357101495415</v>
      </c>
      <c r="N35" s="20">
        <f>'Asset Schedule'!N14</f>
        <v>482.56707529298603</v>
      </c>
    </row>
    <row r="36" spans="1:14" x14ac:dyDescent="0.3">
      <c r="A36" s="14"/>
      <c r="B36" s="14"/>
      <c r="C36" s="15" t="s">
        <v>63</v>
      </c>
      <c r="D36" s="14"/>
      <c r="E36" s="21">
        <f>E34-E35</f>
        <v>156.83045809999999</v>
      </c>
      <c r="F36" s="21">
        <f t="shared" ref="F36:N36" si="9">F34-F35</f>
        <v>188.85084750000004</v>
      </c>
      <c r="G36" s="21">
        <f t="shared" si="9"/>
        <v>281.32423399999999</v>
      </c>
      <c r="H36" s="21">
        <f t="shared" si="9"/>
        <v>305.72552619999999</v>
      </c>
      <c r="I36" s="21">
        <f t="shared" si="9"/>
        <v>315.08696180000004</v>
      </c>
      <c r="J36" s="21">
        <f t="shared" si="9"/>
        <v>319.50887461398236</v>
      </c>
      <c r="K36" s="21">
        <f t="shared" si="9"/>
        <v>320.05343724510249</v>
      </c>
      <c r="L36" s="21">
        <f t="shared" si="9"/>
        <v>307.50108124993284</v>
      </c>
      <c r="M36" s="21">
        <f t="shared" si="9"/>
        <v>282.62603628504581</v>
      </c>
      <c r="N36" s="21">
        <f t="shared" si="9"/>
        <v>246.20253200701393</v>
      </c>
    </row>
    <row r="37" spans="1:14" x14ac:dyDescent="0.3"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x14ac:dyDescent="0.3">
      <c r="C38" t="s">
        <v>64</v>
      </c>
      <c r="E38" s="25">
        <v>6.1667597000000001</v>
      </c>
      <c r="F38" s="25">
        <v>65.740991199999996</v>
      </c>
      <c r="G38" s="25">
        <v>39.604496900000001</v>
      </c>
      <c r="H38" s="25">
        <v>22.689148899999999</v>
      </c>
      <c r="I38" s="25">
        <v>37.541097299999997</v>
      </c>
      <c r="J38" s="20">
        <f>Assumptions!J18*'P&amp;L'!J5</f>
        <v>75.14666147243581</v>
      </c>
      <c r="K38" s="20">
        <f>Assumptions!K18*'P&amp;L'!K5</f>
        <v>70.826718799865915</v>
      </c>
      <c r="L38" s="20">
        <f>Assumptions!L18*'P&amp;L'!L5</f>
        <v>81.515019436430876</v>
      </c>
      <c r="M38" s="20">
        <f>Assumptions!M18*'P&amp;L'!M5</f>
        <v>109.90433652432307</v>
      </c>
      <c r="N38" s="20">
        <f>Assumptions!N18*'P&amp;L'!N5</f>
        <v>143.25567162844368</v>
      </c>
    </row>
    <row r="39" spans="1:14" x14ac:dyDescent="0.3">
      <c r="C39" t="s">
        <v>65</v>
      </c>
      <c r="E39" s="25">
        <v>16.194165600000002</v>
      </c>
      <c r="F39" s="25">
        <v>16.2006625</v>
      </c>
      <c r="G39" s="25">
        <v>47.098618799999997</v>
      </c>
      <c r="H39" s="25">
        <v>16.075606400000002</v>
      </c>
      <c r="I39" s="25">
        <v>16.075606400000002</v>
      </c>
      <c r="J39" s="20">
        <f>Assumptions!J20*'Balance Sheet'!J34</f>
        <v>20.606936255499999</v>
      </c>
      <c r="K39" s="20">
        <f>Assumptions!K20*'Balance Sheet'!K34</f>
        <v>22.356936255499999</v>
      </c>
      <c r="L39" s="20">
        <f>Assumptions!L20*'Balance Sheet'!L34</f>
        <v>23.756936255500001</v>
      </c>
      <c r="M39" s="20">
        <f>Assumptions!M20*'Balance Sheet'!M34</f>
        <v>24.806936255500002</v>
      </c>
      <c r="N39" s="20">
        <f>Assumptions!N20*'Balance Sheet'!N34</f>
        <v>25.506936255500001</v>
      </c>
    </row>
    <row r="40" spans="1:14" x14ac:dyDescent="0.3">
      <c r="E40" s="25"/>
      <c r="F40" s="25"/>
      <c r="G40" s="25"/>
      <c r="H40" s="25"/>
      <c r="I40" s="25"/>
      <c r="J40" s="20"/>
      <c r="K40" s="20"/>
      <c r="L40" s="20"/>
      <c r="M40" s="20"/>
      <c r="N40" s="20"/>
    </row>
    <row r="41" spans="1:14" ht="15" thickBot="1" x14ac:dyDescent="0.35">
      <c r="A41" s="16"/>
      <c r="B41" s="16"/>
      <c r="C41" s="17" t="s">
        <v>66</v>
      </c>
      <c r="D41" s="16"/>
      <c r="E41" s="22">
        <f t="shared" ref="E41:N41" si="10">E31+E36+E38+E39</f>
        <v>529.21071280000001</v>
      </c>
      <c r="F41" s="22">
        <f t="shared" si="10"/>
        <v>845.72709960000009</v>
      </c>
      <c r="G41" s="22">
        <f t="shared" si="10"/>
        <v>894.01743129999977</v>
      </c>
      <c r="H41" s="22">
        <f t="shared" si="10"/>
        <v>975.55309999999997</v>
      </c>
      <c r="I41" s="22">
        <f t="shared" si="10"/>
        <v>1110.5707129000002</v>
      </c>
      <c r="J41" s="22">
        <f t="shared" si="10"/>
        <v>1302.9414397596847</v>
      </c>
      <c r="K41" s="22">
        <f t="shared" si="10"/>
        <v>1567.3388273888995</v>
      </c>
      <c r="L41" s="22">
        <f t="shared" si="10"/>
        <v>1914.9414167742284</v>
      </c>
      <c r="M41" s="22">
        <f t="shared" si="10"/>
        <v>2277.75023531136</v>
      </c>
      <c r="N41" s="22">
        <f t="shared" si="10"/>
        <v>2737.7609987072997</v>
      </c>
    </row>
    <row r="42" spans="1:14" ht="15" thickTop="1" x14ac:dyDescent="0.3"/>
    <row r="46" spans="1:14" x14ac:dyDescent="0.3"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13CD4-168E-498F-A13A-5E9E1E7FF480}">
  <dimension ref="A1:P32"/>
  <sheetViews>
    <sheetView showGridLines="0" zoomScaleNormal="10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H32" sqref="H32"/>
    </sheetView>
  </sheetViews>
  <sheetFormatPr defaultRowHeight="14.4" x14ac:dyDescent="0.3"/>
  <cols>
    <col min="1" max="1" width="3" customWidth="1"/>
    <col min="2" max="2" width="3.109375" customWidth="1"/>
    <col min="3" max="3" width="39.5546875" customWidth="1"/>
    <col min="4" max="4" width="2.21875" customWidth="1"/>
    <col min="5" max="5" width="9.5546875" customWidth="1"/>
    <col min="6" max="9" width="10.5546875" bestFit="1" customWidth="1"/>
    <col min="18" max="18" width="10" bestFit="1" customWidth="1"/>
    <col min="19" max="19" width="11.109375" bestFit="1" customWidth="1"/>
  </cols>
  <sheetData>
    <row r="1" spans="1:14" ht="18" x14ac:dyDescent="0.35">
      <c r="A1" s="2" t="s">
        <v>13</v>
      </c>
      <c r="E1" s="39" t="s">
        <v>11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3">
      <c r="A2" s="1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4" spans="1:14" x14ac:dyDescent="0.3">
      <c r="A4" s="3" t="s">
        <v>15</v>
      </c>
    </row>
    <row r="5" spans="1:14" x14ac:dyDescent="0.3">
      <c r="B5" t="s">
        <v>16</v>
      </c>
      <c r="E5" s="24">
        <v>595.8016404</v>
      </c>
      <c r="F5" s="24">
        <v>1083.3256904</v>
      </c>
      <c r="G5" s="24">
        <v>1313.1788116</v>
      </c>
      <c r="H5" s="24">
        <v>1464.4815661</v>
      </c>
      <c r="I5" s="24">
        <v>1761.1206751</v>
      </c>
      <c r="J5" s="6">
        <f>I5*(1+Assumptions!J24)</f>
        <v>2354.7124427788654</v>
      </c>
      <c r="K5" s="6">
        <f>J5*(1+Assumptions!K24)</f>
        <v>2865.0972205582875</v>
      </c>
      <c r="L5" s="6">
        <f>K5*(1+Assumptions!L24)</f>
        <v>3489.3862961956993</v>
      </c>
      <c r="M5" s="6">
        <f>L5*(1+Assumptions!M24)</f>
        <v>4339.2734888793448</v>
      </c>
      <c r="N5" s="6">
        <f>M5*(1+Assumptions!N24)</f>
        <v>5440.6482103486005</v>
      </c>
    </row>
    <row r="6" spans="1:14" x14ac:dyDescent="0.3">
      <c r="B6" t="s">
        <v>17</v>
      </c>
      <c r="E6" s="24">
        <v>9.7738803999999995</v>
      </c>
      <c r="F6" s="24">
        <v>5.6390373</v>
      </c>
      <c r="G6" s="24">
        <v>8.0564339999999994</v>
      </c>
      <c r="H6" s="24">
        <v>17.017450100000001</v>
      </c>
      <c r="I6" s="24">
        <v>9.6043026999999999</v>
      </c>
      <c r="J6" s="6">
        <f>J5*Assumptions!J26</f>
        <v>16.726700448448845</v>
      </c>
      <c r="K6" s="6">
        <f>K5*Assumptions!K26</f>
        <v>21.711849544059135</v>
      </c>
      <c r="L6" s="6">
        <f>L5*Assumptions!L26</f>
        <v>27.701528396623964</v>
      </c>
      <c r="M6" s="6">
        <f>M5*Assumptions!M26</f>
        <v>30.455043941750489</v>
      </c>
      <c r="N6" s="6">
        <f>N5*Assumptions!N26</f>
        <v>40.313588607320533</v>
      </c>
    </row>
    <row r="7" spans="1:14" x14ac:dyDescent="0.3">
      <c r="B7" t="s">
        <v>18</v>
      </c>
      <c r="E7" s="24">
        <v>18.1845189</v>
      </c>
      <c r="F7" s="24">
        <v>58.206598200000002</v>
      </c>
      <c r="G7" s="24">
        <v>-15.3400292</v>
      </c>
      <c r="H7" s="24">
        <v>36.459331599999999</v>
      </c>
      <c r="I7" s="24">
        <v>28.314475099999999</v>
      </c>
      <c r="J7" s="6">
        <f>J5*Assumptions!J28</f>
        <v>48.872766355540719</v>
      </c>
      <c r="K7" s="6">
        <f>K5*Assumptions!K28</f>
        <v>35.847351602741753</v>
      </c>
      <c r="L7" s="6">
        <f>L5*Assumptions!L28</f>
        <v>64.763271250858452</v>
      </c>
      <c r="M7" s="6">
        <f>M5*Assumptions!M28</f>
        <v>73.664210771955254</v>
      </c>
      <c r="N7" s="6">
        <f>N5*Assumptions!N28</f>
        <v>93.583608652319469</v>
      </c>
    </row>
    <row r="8" spans="1:14" x14ac:dyDescent="0.3">
      <c r="A8" s="5"/>
      <c r="B8" s="5" t="s">
        <v>19</v>
      </c>
      <c r="C8" s="4"/>
      <c r="D8" s="4"/>
      <c r="E8" s="7">
        <f>SUM(E5:E7)</f>
        <v>623.76003970000011</v>
      </c>
      <c r="F8" s="7">
        <f t="shared" ref="F8:J8" si="0">SUM(F5:F7)</f>
        <v>1147.1713258999998</v>
      </c>
      <c r="G8" s="7">
        <f t="shared" si="0"/>
        <v>1305.8952164000002</v>
      </c>
      <c r="H8" s="7">
        <f t="shared" si="0"/>
        <v>1517.9583478</v>
      </c>
      <c r="I8" s="7">
        <f t="shared" si="0"/>
        <v>1799.0394529</v>
      </c>
      <c r="J8" s="7">
        <f t="shared" si="0"/>
        <v>2420.3119095828547</v>
      </c>
      <c r="K8" s="7">
        <f t="shared" ref="K8:N8" si="1">SUM(K5:K7)</f>
        <v>2922.6564217050882</v>
      </c>
      <c r="L8" s="7">
        <f t="shared" si="1"/>
        <v>3581.8510958431816</v>
      </c>
      <c r="M8" s="7">
        <f t="shared" si="1"/>
        <v>4443.3927435930509</v>
      </c>
      <c r="N8" s="7">
        <f t="shared" si="1"/>
        <v>5574.5454076082406</v>
      </c>
    </row>
    <row r="9" spans="1:14" x14ac:dyDescent="0.3"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3">
      <c r="A10" s="3" t="s">
        <v>20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x14ac:dyDescent="0.3">
      <c r="B11" t="s">
        <v>21</v>
      </c>
      <c r="E11" s="25">
        <v>0.11902119999999999</v>
      </c>
      <c r="F11" s="25">
        <v>0.6378625</v>
      </c>
      <c r="G11" s="25">
        <v>8.5086104999999996</v>
      </c>
      <c r="H11" s="25">
        <v>3.5328539999999999</v>
      </c>
      <c r="I11" s="25">
        <v>7.4140812</v>
      </c>
      <c r="J11" s="6">
        <f>J5*Assumptions!J30</f>
        <v>8.0592527721281861</v>
      </c>
      <c r="K11" s="6">
        <f>K5*Assumptions!K30</f>
        <v>11.835880893106742</v>
      </c>
      <c r="L11" s="6">
        <f>L5*Assumptions!L30</f>
        <v>12.366286375989619</v>
      </c>
      <c r="M11" s="6">
        <f>M5*Assumptions!M30</f>
        <v>16.605857786048272</v>
      </c>
      <c r="N11" s="6">
        <f>N5*Assumptions!N30</f>
        <v>20.299752320478255</v>
      </c>
    </row>
    <row r="12" spans="1:14" x14ac:dyDescent="0.3">
      <c r="B12" t="s">
        <v>22</v>
      </c>
      <c r="E12" s="24">
        <v>393.78124539999999</v>
      </c>
      <c r="F12" s="24">
        <v>762.85903470000005</v>
      </c>
      <c r="G12" s="24">
        <v>845.3055263</v>
      </c>
      <c r="H12" s="24">
        <v>912.5690889</v>
      </c>
      <c r="I12" s="24">
        <v>1180.7643547</v>
      </c>
      <c r="J12" s="6">
        <f>J5*Assumptions!J32</f>
        <v>1554.9864101916694</v>
      </c>
      <c r="K12" s="6">
        <f>K5*Assumptions!K32</f>
        <v>1860.6499912264628</v>
      </c>
      <c r="L12" s="6">
        <f>L5*Assumptions!L32</f>
        <v>2271.0566822208016</v>
      </c>
      <c r="M12" s="6">
        <f>M5*Assumptions!M32</f>
        <v>2854.2662107291485</v>
      </c>
      <c r="N12" s="6">
        <f>N5*Assumptions!N32</f>
        <v>3561.4670323176097</v>
      </c>
    </row>
    <row r="13" spans="1:14" x14ac:dyDescent="0.3">
      <c r="B13" t="s">
        <v>23</v>
      </c>
      <c r="E13" s="24">
        <v>26.599709399999998</v>
      </c>
      <c r="F13" s="24">
        <v>40.807807799999999</v>
      </c>
      <c r="G13" s="24">
        <v>51.613433700000002</v>
      </c>
      <c r="H13" s="24">
        <v>62.370413200000002</v>
      </c>
      <c r="I13" s="24">
        <v>77.487189000000001</v>
      </c>
      <c r="J13" s="6">
        <f>J5*Assumptions!J34</f>
        <v>96.2846230532313</v>
      </c>
      <c r="K13" s="6">
        <f>K5*Assumptions!K34</f>
        <v>119.46159263965882</v>
      </c>
      <c r="L13" s="6">
        <f>L5*Assumptions!L34</f>
        <v>147.57765030611685</v>
      </c>
      <c r="M13" s="6">
        <f>M5*Assumptions!M34</f>
        <v>183.20168788298321</v>
      </c>
      <c r="N13" s="6">
        <f>N5*Assumptions!N34</f>
        <v>227.28089458191133</v>
      </c>
    </row>
    <row r="14" spans="1:14" x14ac:dyDescent="0.3">
      <c r="B14" t="s">
        <v>24</v>
      </c>
      <c r="E14" s="24">
        <v>109.3657443</v>
      </c>
      <c r="F14" s="24">
        <v>157.68456639999999</v>
      </c>
      <c r="G14" s="24">
        <v>223.0245324</v>
      </c>
      <c r="H14" s="24">
        <v>233.07541710000001</v>
      </c>
      <c r="I14" s="24">
        <v>266.82483130000003</v>
      </c>
      <c r="J14" s="6">
        <f>J5*Assumptions!J36</f>
        <v>368.54330929945007</v>
      </c>
      <c r="K14" s="6">
        <f>K5*Assumptions!K36</f>
        <v>456.27347608821145</v>
      </c>
      <c r="L14" s="6">
        <f>L5*Assumptions!L36</f>
        <v>546.46070822436286</v>
      </c>
      <c r="M14" s="6">
        <f>M5*Assumptions!M36</f>
        <v>676.79705268249518</v>
      </c>
      <c r="N14" s="6">
        <f>N5*Assumptions!N36</f>
        <v>854.64709101752203</v>
      </c>
    </row>
    <row r="15" spans="1:14" x14ac:dyDescent="0.3">
      <c r="B15" t="s">
        <v>25</v>
      </c>
      <c r="E15" s="24">
        <v>2.6007989</v>
      </c>
      <c r="F15" s="24">
        <v>1.8678176</v>
      </c>
      <c r="G15" s="24">
        <v>1.9915474</v>
      </c>
      <c r="H15" s="24">
        <v>2.0590180999999999</v>
      </c>
      <c r="I15" s="24">
        <v>2.3720297000000001</v>
      </c>
      <c r="J15" s="6">
        <f>J5*Assumptions!J38</f>
        <v>3.5282974415962642</v>
      </c>
      <c r="K15" s="6">
        <f>K5*Assumptions!K38</f>
        <v>4.1313560847021584</v>
      </c>
      <c r="L15" s="6">
        <f>L5*Assumptions!L38</f>
        <v>4.9664572820915316</v>
      </c>
      <c r="M15" s="6">
        <f>M5*Assumptions!M38</f>
        <v>6.1949085532705794</v>
      </c>
      <c r="N15" s="6">
        <f>N5*Assumptions!N38</f>
        <v>7.8771062553554483</v>
      </c>
    </row>
    <row r="16" spans="1:14" x14ac:dyDescent="0.3">
      <c r="B16" t="s">
        <v>27</v>
      </c>
      <c r="E16" s="24">
        <v>17.0026464</v>
      </c>
      <c r="F16" s="24">
        <v>24.445207</v>
      </c>
      <c r="G16" s="24">
        <v>34.556385800000001</v>
      </c>
      <c r="H16" s="24">
        <v>42.945124399999997</v>
      </c>
      <c r="I16" s="24">
        <v>41.712063299999997</v>
      </c>
      <c r="J16" s="6">
        <f>I16/'Balance Sheet'!I34*'Balance Sheet'!J34</f>
        <v>45.584289086017598</v>
      </c>
      <c r="K16" s="6">
        <f>J16/'Balance Sheet'!J34*'Balance Sheet'!K34</f>
        <v>49.455437368879856</v>
      </c>
      <c r="L16" s="6">
        <f>K16/'Balance Sheet'!K34*'Balance Sheet'!L34</f>
        <v>52.552355995169663</v>
      </c>
      <c r="M16" s="6">
        <f>L16/'Balance Sheet'!L34*'Balance Sheet'!M34</f>
        <v>54.875044964887017</v>
      </c>
      <c r="N16" s="6">
        <f>M16/'Balance Sheet'!M34*'Balance Sheet'!N34</f>
        <v>56.423504278031913</v>
      </c>
    </row>
    <row r="17" spans="1:16" x14ac:dyDescent="0.3">
      <c r="B17" t="s">
        <v>28</v>
      </c>
      <c r="E17" s="24">
        <v>3.0924293</v>
      </c>
      <c r="F17" s="24">
        <v>12.9308874</v>
      </c>
      <c r="G17" s="24">
        <v>18.236572299999999</v>
      </c>
      <c r="H17" s="24">
        <v>6.7715572000000002</v>
      </c>
      <c r="I17" s="24">
        <v>1.4520440999999999</v>
      </c>
      <c r="J17" s="6">
        <f>'Debt Schedule '!J18*'Debt Schedule '!J17</f>
        <v>4.0078464122784112</v>
      </c>
      <c r="K17" s="6">
        <f>'Debt Schedule '!K18*'Debt Schedule '!K17</f>
        <v>3.665117709338074</v>
      </c>
      <c r="L17" s="6">
        <f>'Debt Schedule '!L18*'Debt Schedule '!L17</f>
        <v>3.1421578893389142</v>
      </c>
      <c r="M17" s="6">
        <f>'Debt Schedule '!M18*'Debt Schedule '!M17</f>
        <v>3.0742963155908929</v>
      </c>
      <c r="N17" s="6">
        <f>'Debt Schedule '!N18*'Debt Schedule '!N17</f>
        <v>3.4723545816365728</v>
      </c>
    </row>
    <row r="18" spans="1:16" x14ac:dyDescent="0.3">
      <c r="A18" s="4"/>
      <c r="B18" s="5" t="s">
        <v>26</v>
      </c>
      <c r="C18" s="4"/>
      <c r="D18" s="4"/>
      <c r="E18" s="7">
        <f>SUM(E11:E17)</f>
        <v>552.56159490000005</v>
      </c>
      <c r="F18" s="7">
        <f t="shared" ref="F18:I18" si="2">SUM(F11:F17)</f>
        <v>1001.2331833999999</v>
      </c>
      <c r="G18" s="7">
        <f t="shared" si="2"/>
        <v>1183.2366084</v>
      </c>
      <c r="H18" s="7">
        <f t="shared" si="2"/>
        <v>1263.3234729000001</v>
      </c>
      <c r="I18" s="7">
        <f t="shared" si="2"/>
        <v>1578.0265933000001</v>
      </c>
      <c r="J18" s="7">
        <f>SUM(J11:J17)</f>
        <v>2080.9940282563716</v>
      </c>
      <c r="K18" s="7">
        <f t="shared" ref="K18:N18" si="3">SUM(K11:K17)</f>
        <v>2505.4728520103599</v>
      </c>
      <c r="L18" s="7">
        <f t="shared" si="3"/>
        <v>3038.1222982938712</v>
      </c>
      <c r="M18" s="7">
        <f t="shared" si="3"/>
        <v>3795.0150589144232</v>
      </c>
      <c r="N18" s="7">
        <f t="shared" si="3"/>
        <v>4731.4677353525449</v>
      </c>
    </row>
    <row r="19" spans="1:16" x14ac:dyDescent="0.3">
      <c r="E19" s="6"/>
      <c r="F19" s="6"/>
      <c r="G19" s="6"/>
      <c r="H19" s="6"/>
      <c r="I19" s="6"/>
    </row>
    <row r="20" spans="1:16" x14ac:dyDescent="0.3">
      <c r="B20" t="s">
        <v>71</v>
      </c>
      <c r="E20" s="6">
        <f>E8-E18</f>
        <v>71.198444800000061</v>
      </c>
      <c r="F20" s="6">
        <f t="shared" ref="F20:N20" si="4">F8-F18</f>
        <v>145.93814249999991</v>
      </c>
      <c r="G20" s="6">
        <f t="shared" si="4"/>
        <v>122.65860800000019</v>
      </c>
      <c r="H20" s="6">
        <f t="shared" si="4"/>
        <v>254.63487489999989</v>
      </c>
      <c r="I20" s="6">
        <f t="shared" si="4"/>
        <v>221.01285959999996</v>
      </c>
      <c r="J20" s="6">
        <f t="shared" si="4"/>
        <v>339.31788132648308</v>
      </c>
      <c r="K20" s="6">
        <f t="shared" si="4"/>
        <v>417.18356969472825</v>
      </c>
      <c r="L20" s="6">
        <f t="shared" si="4"/>
        <v>543.72879754931046</v>
      </c>
      <c r="M20" s="6">
        <f t="shared" si="4"/>
        <v>648.3776846786277</v>
      </c>
      <c r="N20" s="6">
        <f t="shared" si="4"/>
        <v>843.07767225569569</v>
      </c>
    </row>
    <row r="21" spans="1:16" x14ac:dyDescent="0.3">
      <c r="B21" s="8" t="s">
        <v>29</v>
      </c>
      <c r="E21" s="24">
        <v>24.154987299999998</v>
      </c>
      <c r="F21" s="24">
        <v>51.574991400000002</v>
      </c>
      <c r="G21" s="24">
        <v>42.179937299999999</v>
      </c>
      <c r="H21" s="24">
        <v>87.601488099999997</v>
      </c>
      <c r="I21" s="24">
        <v>72.916462100000004</v>
      </c>
      <c r="J21">
        <f>AVERAGE(E21/E20,F21/F20,G21/G20,H21/H20,I21/I20)*J20</f>
        <v>116.08024785569584</v>
      </c>
      <c r="K21">
        <f t="shared" ref="K21:N21" si="5">AVERAGE(F21/F20,G21/G20,H21/H20,I21/I20,J21/J20)*K20</f>
        <v>142.95463247940165</v>
      </c>
      <c r="L21">
        <f t="shared" si="5"/>
        <v>185.14977002195224</v>
      </c>
      <c r="M21">
        <f t="shared" si="5"/>
        <v>220.3486710573433</v>
      </c>
      <c r="N21">
        <f t="shared" si="5"/>
        <v>285.81161921691466</v>
      </c>
    </row>
    <row r="22" spans="1:16" x14ac:dyDescent="0.3">
      <c r="B22" s="12" t="s">
        <v>30</v>
      </c>
      <c r="C22" s="3"/>
      <c r="D22" s="3"/>
      <c r="E22" s="13">
        <f>E20-E21</f>
        <v>47.043457500000059</v>
      </c>
      <c r="F22" s="13">
        <f t="shared" ref="F22:I22" si="6">F20-F21</f>
        <v>94.363151099999911</v>
      </c>
      <c r="G22" s="13">
        <f t="shared" si="6"/>
        <v>80.47867070000018</v>
      </c>
      <c r="H22" s="13">
        <f t="shared" si="6"/>
        <v>167.0333867999999</v>
      </c>
      <c r="I22" s="13">
        <f t="shared" si="6"/>
        <v>148.09639749999997</v>
      </c>
      <c r="J22" s="13">
        <f>J20-J21</f>
        <v>223.23763347078722</v>
      </c>
      <c r="K22" s="13">
        <f t="shared" ref="K22:N22" si="7">K20-K21</f>
        <v>274.2289372153266</v>
      </c>
      <c r="L22" s="13">
        <f t="shared" si="7"/>
        <v>358.57902752735822</v>
      </c>
      <c r="M22" s="13">
        <f t="shared" si="7"/>
        <v>428.02901362128443</v>
      </c>
      <c r="N22" s="13">
        <f t="shared" si="7"/>
        <v>557.26605303878102</v>
      </c>
      <c r="P22" s="13"/>
    </row>
    <row r="23" spans="1:16" x14ac:dyDescent="0.3">
      <c r="B23" s="9" t="s">
        <v>31</v>
      </c>
      <c r="C23" s="10"/>
      <c r="D23" s="10"/>
      <c r="E23" s="24">
        <v>74.903169399999996</v>
      </c>
      <c r="F23" s="24">
        <v>112.5792991</v>
      </c>
      <c r="G23" s="24">
        <v>192.84315309999999</v>
      </c>
      <c r="H23" s="24">
        <v>257.2802734</v>
      </c>
      <c r="I23" s="24">
        <v>378.63321930000001</v>
      </c>
      <c r="J23" s="6">
        <f>I29</f>
        <v>466.10804330000002</v>
      </c>
      <c r="K23" s="6">
        <f t="shared" ref="K23:N23" si="8">J29</f>
        <v>634.37458077516055</v>
      </c>
      <c r="L23" s="6">
        <f t="shared" si="8"/>
        <v>838.4935791142459</v>
      </c>
      <c r="M23" s="6">
        <f t="shared" si="8"/>
        <v>1097.785227898971</v>
      </c>
      <c r="N23" s="6">
        <f t="shared" si="8"/>
        <v>1400.664395964222</v>
      </c>
    </row>
    <row r="24" spans="1:16" x14ac:dyDescent="0.3">
      <c r="B24" s="8" t="s">
        <v>32</v>
      </c>
      <c r="E24" s="6">
        <f>E22+E23</f>
        <v>121.94662690000006</v>
      </c>
      <c r="F24" s="6">
        <f t="shared" ref="F24:I24" si="9">F22+F23</f>
        <v>206.94245019999991</v>
      </c>
      <c r="G24" s="6">
        <f t="shared" si="9"/>
        <v>273.32182380000017</v>
      </c>
      <c r="H24" s="6">
        <f t="shared" si="9"/>
        <v>424.3136601999999</v>
      </c>
      <c r="I24" s="6">
        <f t="shared" si="9"/>
        <v>526.72961680000003</v>
      </c>
      <c r="J24" s="6">
        <f>J22+J23</f>
        <v>689.34567677078724</v>
      </c>
      <c r="K24" s="6">
        <f t="shared" ref="K24:N24" si="10">K22+K23</f>
        <v>908.60351799048715</v>
      </c>
      <c r="L24" s="6">
        <f t="shared" si="10"/>
        <v>1197.0726066416041</v>
      </c>
      <c r="M24" s="6">
        <f t="shared" si="10"/>
        <v>1525.8142415202556</v>
      </c>
      <c r="N24" s="6">
        <f t="shared" si="10"/>
        <v>1957.9304490030031</v>
      </c>
    </row>
    <row r="25" spans="1:16" x14ac:dyDescent="0.3">
      <c r="B25" s="8" t="s">
        <v>33</v>
      </c>
      <c r="E25" s="6"/>
      <c r="F25" s="6"/>
      <c r="G25" s="6"/>
      <c r="H25" s="6"/>
      <c r="I25" s="6"/>
    </row>
    <row r="26" spans="1:16" x14ac:dyDescent="0.3">
      <c r="B26" s="8"/>
      <c r="C26" t="s">
        <v>34</v>
      </c>
      <c r="E26" s="24">
        <v>4.7043457999999996</v>
      </c>
      <c r="F26" s="24">
        <v>9.4363150999999998</v>
      </c>
      <c r="G26" s="24">
        <v>8.0478670999999995</v>
      </c>
      <c r="H26" s="24">
        <v>16.7033387</v>
      </c>
      <c r="I26" s="24">
        <v>14.8096397</v>
      </c>
      <c r="J26">
        <f>AVERAGE(E26/E22,F26/F22,G26/G22,H26/H22,I26/I22)*J22</f>
        <v>22.323763396716121</v>
      </c>
      <c r="K26">
        <f t="shared" ref="K26:N26" si="11">AVERAGE(F26/F22,G26/G22,H26/H22,I26/I22,J26/J22)*K22</f>
        <v>27.422893736410508</v>
      </c>
      <c r="L26">
        <f t="shared" si="11"/>
        <v>35.857902783680743</v>
      </c>
      <c r="M26">
        <f t="shared" si="11"/>
        <v>42.802901374543261</v>
      </c>
      <c r="N26">
        <f t="shared" si="11"/>
        <v>55.726605309929013</v>
      </c>
    </row>
    <row r="27" spans="1:16" x14ac:dyDescent="0.3">
      <c r="B27" s="8"/>
      <c r="C27" s="10" t="s">
        <v>35</v>
      </c>
      <c r="E27" s="24">
        <v>3.9856250000000002</v>
      </c>
      <c r="F27" s="24">
        <v>3.9856250000000002</v>
      </c>
      <c r="G27" s="24">
        <v>6.8324999999999996</v>
      </c>
      <c r="H27" s="24">
        <v>24.767812500000002</v>
      </c>
      <c r="I27" s="24">
        <v>39.286875000000002</v>
      </c>
      <c r="J27">
        <f>AVERAGE(E27/E22,F27/F22,G27/G22,H27/H22,I27/I22)*J22</f>
        <v>27.923332930815505</v>
      </c>
      <c r="K27">
        <f t="shared" ref="K27:N27" si="12">AVERAGE(F27/F22,G27/G22,H27/H22,I27/I22,J27/J22)*K22</f>
        <v>36.515145706738529</v>
      </c>
      <c r="L27">
        <f t="shared" si="12"/>
        <v>54.26714208616059</v>
      </c>
      <c r="M27">
        <f t="shared" si="12"/>
        <v>70.465410604737727</v>
      </c>
      <c r="N27">
        <f t="shared" si="12"/>
        <v>93.563330756727694</v>
      </c>
    </row>
    <row r="28" spans="1:16" x14ac:dyDescent="0.3">
      <c r="B28" s="11"/>
      <c r="C28" t="s">
        <v>36</v>
      </c>
      <c r="D28" s="10"/>
      <c r="E28" s="24">
        <v>0.67735699999999999</v>
      </c>
      <c r="F28" s="24">
        <v>0.67735699999999999</v>
      </c>
      <c r="G28" s="24">
        <v>1.1611833</v>
      </c>
      <c r="H28" s="24">
        <v>4.2092897000000002</v>
      </c>
      <c r="I28" s="24">
        <v>6.5250588</v>
      </c>
      <c r="J28">
        <f>AVERAGE(E28/E27,F28/F27,G28/G27,H28/H27,I28/I27)*J27</f>
        <v>4.7239996680950203</v>
      </c>
      <c r="K28">
        <f t="shared" ref="K28:N28" si="13">AVERAGE(F28/F27,G28/G27,H28/H27,I28/I27,J28/J27)*K27</f>
        <v>6.1718994330921797</v>
      </c>
      <c r="L28">
        <f t="shared" si="13"/>
        <v>9.1623338727914909</v>
      </c>
      <c r="M28">
        <f t="shared" si="13"/>
        <v>11.881533576752426</v>
      </c>
      <c r="N28">
        <f t="shared" si="13"/>
        <v>15.751212964767538</v>
      </c>
    </row>
    <row r="29" spans="1:16" x14ac:dyDescent="0.3">
      <c r="A29" s="4"/>
      <c r="B29" s="5" t="s">
        <v>37</v>
      </c>
      <c r="C29" s="5"/>
      <c r="D29" s="5"/>
      <c r="E29" s="7">
        <f>E24-E26-E27-E28</f>
        <v>112.57929910000006</v>
      </c>
      <c r="F29" s="7">
        <f t="shared" ref="F29:I29" si="14">F24-F26-F27-F28</f>
        <v>192.84315309999991</v>
      </c>
      <c r="G29" s="7">
        <f t="shared" si="14"/>
        <v>257.28027340000017</v>
      </c>
      <c r="H29" s="7">
        <f t="shared" si="14"/>
        <v>378.63321929999989</v>
      </c>
      <c r="I29" s="7">
        <f t="shared" si="14"/>
        <v>466.10804330000002</v>
      </c>
      <c r="J29" s="7">
        <f>J24-J26-J27-J28</f>
        <v>634.37458077516055</v>
      </c>
      <c r="K29" s="7">
        <f t="shared" ref="K29:N29" si="15">K24-K26-K27-K28</f>
        <v>838.4935791142459</v>
      </c>
      <c r="L29" s="7">
        <f t="shared" si="15"/>
        <v>1097.785227898971</v>
      </c>
      <c r="M29" s="7">
        <f t="shared" si="15"/>
        <v>1400.664395964222</v>
      </c>
      <c r="N29" s="7">
        <f t="shared" si="15"/>
        <v>1792.8892999715788</v>
      </c>
    </row>
    <row r="32" spans="1:16" x14ac:dyDescent="0.3">
      <c r="E32" s="26"/>
      <c r="F32" s="26"/>
      <c r="G32" s="26"/>
      <c r="H32" s="26"/>
      <c r="I32" s="26"/>
      <c r="J32" s="27"/>
      <c r="K32" s="27"/>
      <c r="L32" s="27"/>
      <c r="M32" s="27"/>
      <c r="N32" s="27"/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52B90-EA23-4B6E-924C-1037B544C193}">
  <dimension ref="A1:N1048564"/>
  <sheetViews>
    <sheetView showGridLines="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8" sqref="F8"/>
    </sheetView>
  </sheetViews>
  <sheetFormatPr defaultRowHeight="14.4" x14ac:dyDescent="0.3"/>
  <cols>
    <col min="1" max="1" width="3" customWidth="1"/>
    <col min="2" max="2" width="3.109375" customWidth="1"/>
    <col min="3" max="3" width="39.5546875" customWidth="1"/>
    <col min="4" max="4" width="2.21875" customWidth="1"/>
    <col min="5" max="5" width="9.5546875" customWidth="1"/>
    <col min="6" max="9" width="10.5546875" bestFit="1" customWidth="1"/>
    <col min="18" max="18" width="10" bestFit="1" customWidth="1"/>
    <col min="19" max="19" width="11.109375" bestFit="1" customWidth="1"/>
  </cols>
  <sheetData>
    <row r="1" spans="1:14" ht="18" x14ac:dyDescent="0.35">
      <c r="A1" s="2" t="s">
        <v>87</v>
      </c>
      <c r="E1" s="39" t="s">
        <v>11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3">
      <c r="A2" s="1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5" spans="1:14" x14ac:dyDescent="0.3">
      <c r="A5" s="3" t="s">
        <v>89</v>
      </c>
      <c r="F5" s="6">
        <f>E8</f>
        <v>257.77860729999998</v>
      </c>
      <c r="G5" s="6">
        <f>F8</f>
        <v>310.5996073</v>
      </c>
      <c r="H5" s="6">
        <f t="shared" ref="H5:I5" si="0">G8</f>
        <v>427.10960729999999</v>
      </c>
      <c r="I5" s="6">
        <f t="shared" si="0"/>
        <v>491.11960729999998</v>
      </c>
      <c r="J5" s="6">
        <f>I8</f>
        <v>538.76960729999996</v>
      </c>
      <c r="K5" s="6">
        <f t="shared" ref="K5:N5" si="1">J8</f>
        <v>588.76960729999996</v>
      </c>
      <c r="L5" s="6">
        <f t="shared" si="1"/>
        <v>638.76960729999996</v>
      </c>
      <c r="M5" s="6">
        <f t="shared" si="1"/>
        <v>678.76960729999996</v>
      </c>
      <c r="N5" s="6">
        <f t="shared" si="1"/>
        <v>708.76960729999996</v>
      </c>
    </row>
    <row r="6" spans="1:14" x14ac:dyDescent="0.3">
      <c r="B6" t="s">
        <v>90</v>
      </c>
      <c r="F6" s="20">
        <v>52.820999999999998</v>
      </c>
      <c r="G6" s="20">
        <v>116.51</v>
      </c>
      <c r="H6" s="20">
        <v>64.010000000000005</v>
      </c>
      <c r="I6" s="20">
        <v>47.65</v>
      </c>
      <c r="J6" s="20">
        <v>50</v>
      </c>
      <c r="K6" s="20">
        <v>50</v>
      </c>
      <c r="L6" s="20">
        <v>40</v>
      </c>
      <c r="M6" s="20">
        <v>30</v>
      </c>
      <c r="N6" s="20">
        <v>20</v>
      </c>
    </row>
    <row r="7" spans="1:14" x14ac:dyDescent="0.3">
      <c r="B7" t="s">
        <v>91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</row>
    <row r="8" spans="1:14" x14ac:dyDescent="0.3">
      <c r="A8" s="15" t="s">
        <v>92</v>
      </c>
      <c r="B8" s="14"/>
      <c r="C8" s="14"/>
      <c r="D8" s="14"/>
      <c r="E8" s="29">
        <f>'Balance Sheet'!E34</f>
        <v>257.77860729999998</v>
      </c>
      <c r="F8" s="29">
        <f>SUM(F5:F7)</f>
        <v>310.5996073</v>
      </c>
      <c r="G8" s="29">
        <f>SUM(G5:G7)</f>
        <v>427.10960729999999</v>
      </c>
      <c r="H8" s="29">
        <f t="shared" ref="H8:J8" si="2">SUM(H5:H7)</f>
        <v>491.11960729999998</v>
      </c>
      <c r="I8" s="29">
        <f t="shared" si="2"/>
        <v>538.76960729999996</v>
      </c>
      <c r="J8" s="29">
        <f t="shared" si="2"/>
        <v>588.76960729999996</v>
      </c>
      <c r="K8" s="29">
        <f t="shared" ref="K8:N8" si="3">SUM(K5:K7)</f>
        <v>638.76960729999996</v>
      </c>
      <c r="L8" s="29">
        <f t="shared" si="3"/>
        <v>678.76960729999996</v>
      </c>
      <c r="M8" s="29">
        <f t="shared" si="3"/>
        <v>708.76960729999996</v>
      </c>
      <c r="N8" s="29">
        <f t="shared" si="3"/>
        <v>728.76960729999996</v>
      </c>
    </row>
    <row r="10" spans="1:14" x14ac:dyDescent="0.3">
      <c r="A10" s="3" t="s">
        <v>93</v>
      </c>
    </row>
    <row r="11" spans="1:14" x14ac:dyDescent="0.3">
      <c r="B11" t="s">
        <v>94</v>
      </c>
      <c r="F11" s="6">
        <f t="shared" ref="F11:N11" si="4">E14</f>
        <v>100.9481492</v>
      </c>
      <c r="G11" s="6">
        <f t="shared" si="4"/>
        <v>121.7333562</v>
      </c>
      <c r="H11" s="6">
        <f t="shared" si="4"/>
        <v>145.76925589999999</v>
      </c>
      <c r="I11" s="6">
        <f t="shared" si="4"/>
        <v>185.38438029999998</v>
      </c>
      <c r="J11" s="6">
        <f t="shared" si="4"/>
        <v>223.6764436</v>
      </c>
      <c r="K11" s="6">
        <f t="shared" si="4"/>
        <v>269.2607326860176</v>
      </c>
      <c r="L11" s="6">
        <f t="shared" si="4"/>
        <v>318.71617005489747</v>
      </c>
      <c r="M11" s="6">
        <f t="shared" si="4"/>
        <v>371.26852605006712</v>
      </c>
      <c r="N11" s="6">
        <f t="shared" si="4"/>
        <v>426.14357101495415</v>
      </c>
    </row>
    <row r="12" spans="1:14" x14ac:dyDescent="0.3">
      <c r="B12" t="s">
        <v>95</v>
      </c>
      <c r="F12" s="6">
        <f>'P&amp;L'!F16</f>
        <v>24.445207</v>
      </c>
      <c r="G12" s="6">
        <f>'P&amp;L'!G16</f>
        <v>34.556385800000001</v>
      </c>
      <c r="H12" s="6">
        <f>'P&amp;L'!H16</f>
        <v>42.945124399999997</v>
      </c>
      <c r="I12" s="6">
        <f>'P&amp;L'!I16</f>
        <v>41.712063299999997</v>
      </c>
      <c r="J12" s="6">
        <f>'P&amp;L'!J16</f>
        <v>45.584289086017598</v>
      </c>
      <c r="K12" s="6">
        <f>'P&amp;L'!K16</f>
        <v>49.455437368879856</v>
      </c>
      <c r="L12" s="6">
        <f>'P&amp;L'!L16</f>
        <v>52.552355995169663</v>
      </c>
      <c r="M12" s="6">
        <f>'P&amp;L'!M16</f>
        <v>54.875044964887017</v>
      </c>
      <c r="N12" s="6">
        <f>'P&amp;L'!N16</f>
        <v>56.423504278031913</v>
      </c>
    </row>
    <row r="13" spans="1:14" x14ac:dyDescent="0.3">
      <c r="B13" t="s">
        <v>96</v>
      </c>
      <c r="F13">
        <v>-3.66</v>
      </c>
      <c r="G13" s="20">
        <v>-10.520486099999999</v>
      </c>
      <c r="H13" s="20">
        <v>-3.33</v>
      </c>
      <c r="I13" s="20">
        <v>-3.42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</row>
    <row r="14" spans="1:14" x14ac:dyDescent="0.3">
      <c r="A14" s="14"/>
      <c r="B14" s="15" t="s">
        <v>97</v>
      </c>
      <c r="C14" s="14"/>
      <c r="D14" s="14"/>
      <c r="E14" s="29">
        <f>'Balance Sheet'!E35</f>
        <v>100.9481492</v>
      </c>
      <c r="F14" s="29">
        <f t="shared" ref="F14:N14" si="5">F11+F12+F13</f>
        <v>121.7333562</v>
      </c>
      <c r="G14" s="29">
        <f t="shared" si="5"/>
        <v>145.76925589999999</v>
      </c>
      <c r="H14" s="29">
        <f t="shared" si="5"/>
        <v>185.38438029999998</v>
      </c>
      <c r="I14" s="29">
        <f t="shared" si="5"/>
        <v>223.6764436</v>
      </c>
      <c r="J14" s="29">
        <f t="shared" si="5"/>
        <v>269.2607326860176</v>
      </c>
      <c r="K14" s="29">
        <f t="shared" si="5"/>
        <v>318.71617005489747</v>
      </c>
      <c r="L14" s="29">
        <f t="shared" si="5"/>
        <v>371.26852605006712</v>
      </c>
      <c r="M14" s="29">
        <f t="shared" si="5"/>
        <v>426.14357101495415</v>
      </c>
      <c r="N14" s="29">
        <f t="shared" si="5"/>
        <v>482.56707529298603</v>
      </c>
    </row>
    <row r="15" spans="1:14" x14ac:dyDescent="0.3">
      <c r="E15" s="6"/>
      <c r="F15" s="6"/>
    </row>
    <row r="16" spans="1:14" x14ac:dyDescent="0.3">
      <c r="B16" s="3" t="s">
        <v>63</v>
      </c>
      <c r="E16" s="13">
        <f>E8-E14</f>
        <v>156.83045809999999</v>
      </c>
      <c r="F16" s="13">
        <f t="shared" ref="F16:N16" si="6">F8-F14</f>
        <v>188.8662511</v>
      </c>
      <c r="G16" s="13">
        <f t="shared" si="6"/>
        <v>281.34035140000003</v>
      </c>
      <c r="H16" s="13">
        <f t="shared" si="6"/>
        <v>305.73522700000001</v>
      </c>
      <c r="I16" s="13">
        <f t="shared" si="6"/>
        <v>315.09316369999999</v>
      </c>
      <c r="J16" s="13">
        <f t="shared" si="6"/>
        <v>319.50887461398236</v>
      </c>
      <c r="K16" s="13">
        <f t="shared" si="6"/>
        <v>320.05343724510249</v>
      </c>
      <c r="L16" s="13">
        <f t="shared" si="6"/>
        <v>307.50108124993284</v>
      </c>
      <c r="M16" s="13">
        <f t="shared" si="6"/>
        <v>282.62603628504581</v>
      </c>
      <c r="N16" s="13">
        <f t="shared" si="6"/>
        <v>246.20253200701393</v>
      </c>
    </row>
    <row r="20" spans="9:9" x14ac:dyDescent="0.3">
      <c r="I20" s="26"/>
    </row>
    <row r="1048564" spans="9:9" x14ac:dyDescent="0.3">
      <c r="I1048564" t="s">
        <v>88</v>
      </c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B53A-12E4-4099-89DA-759F81F18135}">
  <dimension ref="A1:N18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19" sqref="R19"/>
    </sheetView>
  </sheetViews>
  <sheetFormatPr defaultRowHeight="14.4" x14ac:dyDescent="0.3"/>
  <cols>
    <col min="1" max="2" width="2.21875" customWidth="1"/>
    <col min="3" max="3" width="37.6640625" customWidth="1"/>
    <col min="4" max="4" width="1.77734375" customWidth="1"/>
  </cols>
  <sheetData>
    <row r="1" spans="1:14" ht="18" x14ac:dyDescent="0.35">
      <c r="A1" s="2" t="s">
        <v>98</v>
      </c>
      <c r="E1" s="39" t="s">
        <v>11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3">
      <c r="A2" s="1" t="s">
        <v>0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7</v>
      </c>
      <c r="L2" s="18" t="s">
        <v>8</v>
      </c>
      <c r="M2" s="18" t="s">
        <v>9</v>
      </c>
      <c r="N2" s="18" t="s">
        <v>10</v>
      </c>
    </row>
    <row r="3" spans="1:14" x14ac:dyDescent="0.3"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3">
      <c r="A4" s="3" t="s">
        <v>47</v>
      </c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3">
      <c r="B5" t="s">
        <v>94</v>
      </c>
      <c r="E5" s="19"/>
      <c r="F5" s="20">
        <f>E8</f>
        <v>107.4874049</v>
      </c>
      <c r="G5" s="20">
        <f>F8</f>
        <v>226.6474049</v>
      </c>
      <c r="H5" s="20">
        <f>G8</f>
        <v>207.8254049</v>
      </c>
      <c r="I5" s="20">
        <f>H8</f>
        <v>27.287404899999984</v>
      </c>
      <c r="J5" s="20">
        <f>I8</f>
        <v>24.037404899999984</v>
      </c>
      <c r="K5" s="20">
        <f t="shared" ref="K5:N5" si="0">J8</f>
        <v>24.037404899999984</v>
      </c>
      <c r="L5" s="20">
        <f t="shared" si="0"/>
        <v>24.037404899999984</v>
      </c>
      <c r="M5" s="20">
        <f t="shared" si="0"/>
        <v>24.037404899999984</v>
      </c>
      <c r="N5" s="20">
        <f t="shared" si="0"/>
        <v>24.037404899999984</v>
      </c>
    </row>
    <row r="6" spans="1:14" x14ac:dyDescent="0.3">
      <c r="B6" t="s">
        <v>99</v>
      </c>
      <c r="E6" s="19"/>
      <c r="F6" s="30">
        <v>119.16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</row>
    <row r="7" spans="1:14" x14ac:dyDescent="0.3">
      <c r="B7" t="s">
        <v>100</v>
      </c>
      <c r="E7" s="19"/>
      <c r="F7" s="30">
        <v>0</v>
      </c>
      <c r="G7" s="30">
        <v>-18.821999999999999</v>
      </c>
      <c r="H7" s="30">
        <v>-180.53800000000001</v>
      </c>
      <c r="I7" s="30">
        <v>-3.25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</row>
    <row r="8" spans="1:14" x14ac:dyDescent="0.3">
      <c r="A8" s="14"/>
      <c r="B8" s="15" t="s">
        <v>97</v>
      </c>
      <c r="C8" s="14"/>
      <c r="D8" s="14"/>
      <c r="E8" s="21">
        <f>'Balance Sheet'!E16</f>
        <v>107.4874049</v>
      </c>
      <c r="F8" s="21">
        <f>F5+F6+F7</f>
        <v>226.6474049</v>
      </c>
      <c r="G8" s="21">
        <f>G5+G6+G7</f>
        <v>207.8254049</v>
      </c>
      <c r="H8" s="21">
        <f>H5+H6+H7</f>
        <v>27.287404899999984</v>
      </c>
      <c r="I8" s="21">
        <f>I5+I6+I7</f>
        <v>24.037404899999984</v>
      </c>
      <c r="J8" s="21">
        <f>J5+J6+J7</f>
        <v>24.037404899999984</v>
      </c>
      <c r="K8" s="21">
        <f t="shared" ref="K8:N8" si="1">K5+K6+K7</f>
        <v>24.037404899999984</v>
      </c>
      <c r="L8" s="21">
        <f t="shared" si="1"/>
        <v>24.037404899999984</v>
      </c>
      <c r="M8" s="21">
        <f t="shared" si="1"/>
        <v>24.037404899999984</v>
      </c>
      <c r="N8" s="21">
        <f t="shared" si="1"/>
        <v>24.037404899999984</v>
      </c>
    </row>
    <row r="9" spans="1:14" x14ac:dyDescent="0.3"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3"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x14ac:dyDescent="0.3">
      <c r="A11" s="3" t="s">
        <v>48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3">
      <c r="B12" t="s">
        <v>94</v>
      </c>
      <c r="E12" s="19"/>
      <c r="F12" s="20">
        <f>E15</f>
        <v>33.220983099999998</v>
      </c>
      <c r="G12" s="20">
        <f>F15</f>
        <v>89.600983100000008</v>
      </c>
      <c r="H12" s="20">
        <f>G15</f>
        <v>78.040983100000005</v>
      </c>
      <c r="I12" s="20">
        <f>H15</f>
        <v>63.900983100000005</v>
      </c>
      <c r="J12" s="20">
        <f>I15</f>
        <v>71.000983099999999</v>
      </c>
      <c r="K12" s="20">
        <f t="shared" ref="K12:N12" si="2">J15</f>
        <v>71.000983099999999</v>
      </c>
      <c r="L12" s="20">
        <f t="shared" si="2"/>
        <v>71.000983099999999</v>
      </c>
      <c r="M12" s="20">
        <f t="shared" si="2"/>
        <v>71.000983099999999</v>
      </c>
      <c r="N12" s="20">
        <f t="shared" si="2"/>
        <v>71.000983099999999</v>
      </c>
    </row>
    <row r="13" spans="1:14" x14ac:dyDescent="0.3">
      <c r="B13" t="s">
        <v>99</v>
      </c>
      <c r="E13" s="19"/>
      <c r="F13" s="30">
        <v>56.38</v>
      </c>
      <c r="G13" s="30">
        <v>0</v>
      </c>
      <c r="H13" s="30">
        <v>0</v>
      </c>
      <c r="I13" s="30">
        <v>7.1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</row>
    <row r="14" spans="1:14" x14ac:dyDescent="0.3">
      <c r="B14" t="s">
        <v>100</v>
      </c>
      <c r="E14" s="19"/>
      <c r="F14" s="30">
        <v>0</v>
      </c>
      <c r="G14" s="30">
        <v>-11.56</v>
      </c>
      <c r="H14" s="30">
        <v>-14.14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</row>
    <row r="15" spans="1:14" x14ac:dyDescent="0.3">
      <c r="A15" s="14"/>
      <c r="B15" s="15" t="s">
        <v>97</v>
      </c>
      <c r="C15" s="14"/>
      <c r="D15" s="14"/>
      <c r="E15" s="21">
        <f>'Balance Sheet'!E17</f>
        <v>33.220983099999998</v>
      </c>
      <c r="F15" s="21">
        <f>F12+F13+F14</f>
        <v>89.600983100000008</v>
      </c>
      <c r="G15" s="21">
        <f>G12+G13+G14</f>
        <v>78.040983100000005</v>
      </c>
      <c r="H15" s="21">
        <f>H12+H13+H14</f>
        <v>63.900983100000005</v>
      </c>
      <c r="I15" s="21">
        <f>I12+I13+I14</f>
        <v>71.000983099999999</v>
      </c>
      <c r="J15" s="21">
        <f>J12+J13+J14</f>
        <v>71.000983099999999</v>
      </c>
      <c r="K15" s="21">
        <f t="shared" ref="K15:N15" si="3">K12+K13+K14</f>
        <v>71.000983099999999</v>
      </c>
      <c r="L15" s="21">
        <f t="shared" si="3"/>
        <v>71.000983099999999</v>
      </c>
      <c r="M15" s="21">
        <f t="shared" si="3"/>
        <v>71.000983099999999</v>
      </c>
      <c r="N15" s="21">
        <f t="shared" si="3"/>
        <v>71.000983099999999</v>
      </c>
    </row>
    <row r="17" spans="2:14" x14ac:dyDescent="0.3">
      <c r="B17" s="3" t="s">
        <v>101</v>
      </c>
      <c r="F17" s="6">
        <f>AVERAGE(F5,F8,F12,F15)</f>
        <v>114.239194</v>
      </c>
      <c r="G17" s="6">
        <f t="shared" ref="G17:N17" si="4">AVERAGE(G5,G8,G12,G15)</f>
        <v>150.52869399999997</v>
      </c>
      <c r="H17" s="6">
        <f t="shared" si="4"/>
        <v>94.263694000000001</v>
      </c>
      <c r="I17" s="6">
        <f t="shared" si="4"/>
        <v>46.556693999999993</v>
      </c>
      <c r="J17" s="6">
        <f t="shared" si="4"/>
        <v>47.519193999999992</v>
      </c>
      <c r="K17" s="6">
        <f t="shared" si="4"/>
        <v>47.519193999999992</v>
      </c>
      <c r="L17" s="6">
        <f t="shared" si="4"/>
        <v>47.519193999999992</v>
      </c>
      <c r="M17" s="6">
        <f t="shared" si="4"/>
        <v>47.519193999999992</v>
      </c>
      <c r="N17" s="6">
        <f t="shared" si="4"/>
        <v>47.519193999999992</v>
      </c>
    </row>
    <row r="18" spans="2:14" x14ac:dyDescent="0.3">
      <c r="B18" s="3" t="s">
        <v>102</v>
      </c>
      <c r="F18" s="26">
        <f>'P&amp;L'!F17/'Debt Schedule '!F17</f>
        <v>0.1131913395677494</v>
      </c>
      <c r="G18" s="26">
        <f>'P&amp;L'!G17/'Debt Schedule '!G17</f>
        <v>0.12115013965377261</v>
      </c>
      <c r="H18" s="26">
        <f>'P&amp;L'!H17/'Debt Schedule '!H17</f>
        <v>7.1836323325075724E-2</v>
      </c>
      <c r="I18" s="26">
        <f>'P&amp;L'!I17/'Debt Schedule '!I17</f>
        <v>3.1188728735764618E-2</v>
      </c>
      <c r="J18" s="26">
        <f>AVERAGE(F18:I18)</f>
        <v>8.4341632820590595E-2</v>
      </c>
      <c r="K18" s="26">
        <f t="shared" ref="K18:N18" si="5">AVERAGE(G18:J18)</f>
        <v>7.7129206133800893E-2</v>
      </c>
      <c r="L18" s="26">
        <f t="shared" si="5"/>
        <v>6.6123972753807964E-2</v>
      </c>
      <c r="M18" s="26">
        <f t="shared" si="5"/>
        <v>6.4695885110991017E-2</v>
      </c>
      <c r="N18" s="26">
        <f t="shared" si="5"/>
        <v>7.3072674204797614E-2</v>
      </c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8D8B-42CF-4BFD-88E0-EC048E960A2D}">
  <dimension ref="A1:Q19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4" sqref="L14"/>
    </sheetView>
  </sheetViews>
  <sheetFormatPr defaultRowHeight="14.4" x14ac:dyDescent="0.3"/>
  <cols>
    <col min="1" max="2" width="2.21875" customWidth="1"/>
    <col min="3" max="3" width="37.6640625" customWidth="1"/>
    <col min="4" max="4" width="1.77734375" customWidth="1"/>
    <col min="5" max="14" width="9.5546875" bestFit="1" customWidth="1"/>
  </cols>
  <sheetData>
    <row r="1" spans="1:17" ht="18" x14ac:dyDescent="0.35">
      <c r="A1" s="2" t="s">
        <v>103</v>
      </c>
      <c r="E1" s="39" t="s">
        <v>11</v>
      </c>
      <c r="F1" s="39"/>
      <c r="G1" s="39"/>
      <c r="H1" s="39"/>
      <c r="I1" s="39"/>
      <c r="J1" s="39"/>
      <c r="K1" s="39"/>
      <c r="L1" s="39"/>
      <c r="M1" s="39"/>
      <c r="N1" s="39"/>
    </row>
    <row r="2" spans="1:17" x14ac:dyDescent="0.3">
      <c r="A2" s="1" t="s">
        <v>0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5</v>
      </c>
      <c r="J2" s="18" t="s">
        <v>6</v>
      </c>
      <c r="K2" s="18" t="s">
        <v>7</v>
      </c>
      <c r="L2" s="18" t="s">
        <v>8</v>
      </c>
      <c r="M2" s="18" t="s">
        <v>9</v>
      </c>
      <c r="N2" s="18" t="s">
        <v>10</v>
      </c>
    </row>
    <row r="3" spans="1:17" x14ac:dyDescent="0.3"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7" x14ac:dyDescent="0.3">
      <c r="A4" s="3" t="s">
        <v>43</v>
      </c>
      <c r="E4" s="20">
        <f>'Balance Sheet'!E11</f>
        <v>11.387499999999999</v>
      </c>
      <c r="F4" s="20">
        <f>'Balance Sheet'!F11</f>
        <v>11.387499999999999</v>
      </c>
      <c r="G4" s="20">
        <f>'Balance Sheet'!G11</f>
        <v>17.081250000000001</v>
      </c>
      <c r="H4" s="20">
        <f>'Balance Sheet'!H11</f>
        <v>17.081250000000001</v>
      </c>
      <c r="I4" s="20">
        <f>'Balance Sheet'!I11</f>
        <v>17.081250000000001</v>
      </c>
      <c r="J4" s="20">
        <f>I4</f>
        <v>17.081250000000001</v>
      </c>
      <c r="K4" s="20">
        <f t="shared" ref="K4:N4" si="0">J4</f>
        <v>17.081250000000001</v>
      </c>
      <c r="L4" s="20">
        <f t="shared" si="0"/>
        <v>17.081250000000001</v>
      </c>
      <c r="M4" s="20">
        <f t="shared" si="0"/>
        <v>17.081250000000001</v>
      </c>
      <c r="N4" s="20">
        <f t="shared" si="0"/>
        <v>17.081250000000001</v>
      </c>
    </row>
    <row r="5" spans="1:17" x14ac:dyDescent="0.3">
      <c r="E5" s="19"/>
      <c r="F5" s="20"/>
      <c r="G5" s="20"/>
      <c r="H5" s="20"/>
      <c r="I5" s="20"/>
      <c r="J5" s="20"/>
      <c r="K5" s="20"/>
      <c r="L5" s="20"/>
      <c r="M5" s="20"/>
      <c r="N5" s="20"/>
    </row>
    <row r="6" spans="1:17" x14ac:dyDescent="0.3">
      <c r="E6" s="19"/>
      <c r="F6" s="30"/>
      <c r="G6" s="30"/>
      <c r="H6" s="30"/>
      <c r="I6" s="30"/>
      <c r="J6" s="30"/>
      <c r="K6" s="30"/>
      <c r="L6" s="30"/>
      <c r="M6" s="30"/>
      <c r="N6" s="30"/>
    </row>
    <row r="7" spans="1:17" x14ac:dyDescent="0.3">
      <c r="A7" s="3" t="s">
        <v>104</v>
      </c>
      <c r="E7" s="19"/>
      <c r="F7" s="30"/>
      <c r="G7" s="30"/>
      <c r="H7" s="30"/>
      <c r="I7" s="30"/>
      <c r="J7" s="30"/>
      <c r="K7" s="30"/>
      <c r="L7" s="30"/>
      <c r="M7" s="30"/>
      <c r="N7" s="30"/>
    </row>
    <row r="8" spans="1:17" x14ac:dyDescent="0.3">
      <c r="A8" s="10"/>
      <c r="B8" t="s">
        <v>105</v>
      </c>
      <c r="D8" s="10"/>
      <c r="E8" s="34">
        <f>0.00115</f>
        <v>1.15E-3</v>
      </c>
      <c r="F8" s="34">
        <f t="shared" ref="F8:N8" si="1">0.00115</f>
        <v>1.15E-3</v>
      </c>
      <c r="G8" s="34">
        <f t="shared" si="1"/>
        <v>1.15E-3</v>
      </c>
      <c r="H8" s="34">
        <f t="shared" si="1"/>
        <v>1.15E-3</v>
      </c>
      <c r="I8" s="34">
        <f t="shared" si="1"/>
        <v>1.15E-3</v>
      </c>
      <c r="J8" s="34">
        <f t="shared" si="1"/>
        <v>1.15E-3</v>
      </c>
      <c r="K8" s="34">
        <f t="shared" si="1"/>
        <v>1.15E-3</v>
      </c>
      <c r="L8" s="34">
        <f t="shared" si="1"/>
        <v>1.15E-3</v>
      </c>
      <c r="M8" s="34">
        <f t="shared" si="1"/>
        <v>1.15E-3</v>
      </c>
      <c r="N8" s="34">
        <f t="shared" si="1"/>
        <v>1.15E-3</v>
      </c>
    </row>
    <row r="9" spans="1:17" x14ac:dyDescent="0.3">
      <c r="B9" t="s">
        <v>106</v>
      </c>
      <c r="E9" s="20">
        <v>31.186260000000001</v>
      </c>
      <c r="F9" s="20">
        <v>31.186260000000001</v>
      </c>
      <c r="G9" s="20">
        <v>31.186260000000001</v>
      </c>
      <c r="H9" s="20">
        <v>31.186260000000001</v>
      </c>
      <c r="I9" s="20">
        <v>31.186260000000001</v>
      </c>
      <c r="J9" s="20">
        <v>31.186260000000001</v>
      </c>
      <c r="K9" s="20">
        <v>31.186260000000001</v>
      </c>
      <c r="L9" s="20">
        <v>31.186260000000001</v>
      </c>
      <c r="M9" s="20">
        <v>31.186260000000001</v>
      </c>
      <c r="N9" s="20">
        <v>31.186260000000001</v>
      </c>
    </row>
    <row r="10" spans="1:17" x14ac:dyDescent="0.3">
      <c r="B10" t="s">
        <v>107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7" x14ac:dyDescent="0.3">
      <c r="A11" s="3"/>
      <c r="C11" s="31" t="s">
        <v>94</v>
      </c>
      <c r="E11" s="20">
        <v>83.807212699999994</v>
      </c>
      <c r="F11" s="20">
        <f>E15</f>
        <v>88.511558499999992</v>
      </c>
      <c r="G11" s="20">
        <f>F15</f>
        <v>97.683383799999987</v>
      </c>
      <c r="H11" s="20">
        <f>G15</f>
        <v>100.0375009</v>
      </c>
      <c r="I11" s="20">
        <f>H15</f>
        <v>116.7408396</v>
      </c>
      <c r="J11" s="20">
        <f>I15</f>
        <v>131.55047930000001</v>
      </c>
      <c r="K11" s="20">
        <f t="shared" ref="K11:N11" si="2">J15</f>
        <v>153.87424269671612</v>
      </c>
      <c r="L11" s="20">
        <f t="shared" si="2"/>
        <v>181.29713643312664</v>
      </c>
      <c r="M11" s="20">
        <f t="shared" si="2"/>
        <v>217.15503921680738</v>
      </c>
      <c r="N11" s="20">
        <f t="shared" si="2"/>
        <v>259.95794059135062</v>
      </c>
    </row>
    <row r="12" spans="1:17" x14ac:dyDescent="0.3">
      <c r="C12" s="31" t="s">
        <v>108</v>
      </c>
      <c r="E12" s="20">
        <f>'P&amp;L'!E26</f>
        <v>4.7043457999999996</v>
      </c>
      <c r="F12" s="20">
        <f>'P&amp;L'!F26</f>
        <v>9.4363150999999998</v>
      </c>
      <c r="G12" s="20">
        <f>'P&amp;L'!G26</f>
        <v>8.0478670999999995</v>
      </c>
      <c r="H12" s="20">
        <f>'P&amp;L'!H26</f>
        <v>16.7033387</v>
      </c>
      <c r="I12" s="20">
        <f>'P&amp;L'!I26</f>
        <v>14.8096397</v>
      </c>
      <c r="J12" s="20">
        <f>'P&amp;L'!J26</f>
        <v>22.323763396716121</v>
      </c>
      <c r="K12" s="20">
        <f>'P&amp;L'!K26</f>
        <v>27.422893736410508</v>
      </c>
      <c r="L12" s="20">
        <f>'P&amp;L'!L26</f>
        <v>35.857902783680743</v>
      </c>
      <c r="M12" s="20">
        <f>'P&amp;L'!M26</f>
        <v>42.802901374543261</v>
      </c>
      <c r="N12" s="20">
        <f>'P&amp;L'!N26</f>
        <v>55.726605309929013</v>
      </c>
    </row>
    <row r="13" spans="1:17" x14ac:dyDescent="0.3">
      <c r="C13" s="31" t="s">
        <v>109</v>
      </c>
      <c r="E13" s="19">
        <f>0</f>
        <v>0</v>
      </c>
      <c r="F13" s="20">
        <v>-0.2644898</v>
      </c>
      <c r="G13" s="19">
        <f>0</f>
        <v>0</v>
      </c>
      <c r="H13" s="19">
        <f>0</f>
        <v>0</v>
      </c>
      <c r="I13" s="19">
        <f>0</f>
        <v>0</v>
      </c>
      <c r="J13" s="19">
        <f>0</f>
        <v>0</v>
      </c>
      <c r="K13" s="19">
        <f>0</f>
        <v>0</v>
      </c>
      <c r="L13" s="19">
        <f>0</f>
        <v>0</v>
      </c>
      <c r="M13" s="19">
        <f>0</f>
        <v>0</v>
      </c>
      <c r="N13" s="19">
        <f>0</f>
        <v>0</v>
      </c>
    </row>
    <row r="14" spans="1:17" x14ac:dyDescent="0.3">
      <c r="C14" s="31" t="s">
        <v>110</v>
      </c>
      <c r="E14" s="19">
        <v>0</v>
      </c>
      <c r="F14" s="19">
        <v>0</v>
      </c>
      <c r="G14" s="20">
        <v>-5.6937499999999996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7" x14ac:dyDescent="0.3">
      <c r="A15" s="14"/>
      <c r="B15" s="14"/>
      <c r="C15" s="32" t="s">
        <v>97</v>
      </c>
      <c r="D15" s="14"/>
      <c r="E15" s="21">
        <f>E11+E12+E13+E14</f>
        <v>88.511558499999992</v>
      </c>
      <c r="F15" s="21">
        <f t="shared" ref="F15:J15" si="3">F11+F12+F13+F14</f>
        <v>97.683383799999987</v>
      </c>
      <c r="G15" s="21">
        <f t="shared" si="3"/>
        <v>100.0375009</v>
      </c>
      <c r="H15" s="21">
        <f t="shared" si="3"/>
        <v>116.7408396</v>
      </c>
      <c r="I15" s="21">
        <f t="shared" si="3"/>
        <v>131.55047930000001</v>
      </c>
      <c r="J15" s="21">
        <f t="shared" si="3"/>
        <v>153.87424269671612</v>
      </c>
      <c r="K15" s="21">
        <f t="shared" ref="K15:N15" si="4">K11+K12+K13+K14</f>
        <v>181.29713643312664</v>
      </c>
      <c r="L15" s="21">
        <f t="shared" si="4"/>
        <v>217.15503921680738</v>
      </c>
      <c r="M15" s="21">
        <f t="shared" si="4"/>
        <v>259.95794059135062</v>
      </c>
      <c r="N15" s="21">
        <f t="shared" si="4"/>
        <v>315.68454590127965</v>
      </c>
      <c r="O15" s="10"/>
      <c r="P15" s="10"/>
      <c r="Q15" s="10"/>
    </row>
    <row r="16" spans="1:17" x14ac:dyDescent="0.3">
      <c r="A16" s="33"/>
      <c r="B16" s="33" t="s">
        <v>111</v>
      </c>
      <c r="C16" s="33"/>
      <c r="D16" s="33"/>
      <c r="E16" s="35">
        <f>'P&amp;L'!E29</f>
        <v>112.57929910000006</v>
      </c>
      <c r="F16" s="35">
        <f>'P&amp;L'!F29</f>
        <v>192.84315309999991</v>
      </c>
      <c r="G16" s="35">
        <f>'P&amp;L'!G29</f>
        <v>257.28027340000017</v>
      </c>
      <c r="H16" s="35">
        <f>'P&amp;L'!H29</f>
        <v>378.63321929999989</v>
      </c>
      <c r="I16" s="35">
        <f>'P&amp;L'!I29</f>
        <v>466.10804330000002</v>
      </c>
      <c r="J16" s="35">
        <f>'P&amp;L'!J29</f>
        <v>634.37458077516055</v>
      </c>
      <c r="K16" s="35">
        <f>'P&amp;L'!K29</f>
        <v>838.4935791142459</v>
      </c>
      <c r="L16" s="35">
        <f>'P&amp;L'!L29</f>
        <v>1097.785227898971</v>
      </c>
      <c r="M16" s="35">
        <f>'P&amp;L'!M29</f>
        <v>1400.664395964222</v>
      </c>
      <c r="N16" s="35">
        <f>'P&amp;L'!N29</f>
        <v>1792.8892999715788</v>
      </c>
    </row>
    <row r="17" spans="2:14" x14ac:dyDescent="0.3">
      <c r="B17" s="15" t="s">
        <v>112</v>
      </c>
      <c r="C17" s="10"/>
      <c r="E17" s="6">
        <f>E8+E9+E15+E16</f>
        <v>232.27826760000005</v>
      </c>
      <c r="F17" s="6">
        <f t="shared" ref="F17:N17" si="5">F8+F9+F15+F16</f>
        <v>321.71394689999988</v>
      </c>
      <c r="G17" s="6">
        <f t="shared" si="5"/>
        <v>388.50518430000017</v>
      </c>
      <c r="H17" s="6">
        <f t="shared" si="5"/>
        <v>526.56146889999991</v>
      </c>
      <c r="I17" s="6">
        <f t="shared" si="5"/>
        <v>628.84593259999997</v>
      </c>
      <c r="J17" s="6">
        <f t="shared" si="5"/>
        <v>819.43623347187668</v>
      </c>
      <c r="K17" s="6">
        <f t="shared" si="5"/>
        <v>1050.9781255473727</v>
      </c>
      <c r="L17" s="6">
        <f t="shared" si="5"/>
        <v>1346.1276771157784</v>
      </c>
      <c r="M17" s="6">
        <f t="shared" si="5"/>
        <v>1691.8097465555725</v>
      </c>
      <c r="N17" s="6">
        <f t="shared" si="5"/>
        <v>2139.7612558728583</v>
      </c>
    </row>
    <row r="18" spans="2:14" x14ac:dyDescent="0.3">
      <c r="F18" s="26"/>
      <c r="G18" s="26"/>
      <c r="H18" s="26"/>
      <c r="I18" s="26"/>
      <c r="J18" s="26"/>
      <c r="K18" s="26"/>
      <c r="L18" s="26"/>
      <c r="M18" s="26"/>
      <c r="N18" s="26"/>
    </row>
    <row r="19" spans="2:14" x14ac:dyDescent="0.3">
      <c r="B19" s="3" t="s">
        <v>113</v>
      </c>
      <c r="E19" s="6">
        <f>'Balance Sheet'!E12</f>
        <v>232.27826769999999</v>
      </c>
      <c r="F19" s="6">
        <f>'Balance Sheet'!F12</f>
        <v>321.71394700000002</v>
      </c>
      <c r="G19" s="6">
        <f>'Balance Sheet'!G12</f>
        <v>388.50518440000002</v>
      </c>
      <c r="H19" s="6">
        <f>'Balance Sheet'!H12</f>
        <v>526.56146899999999</v>
      </c>
      <c r="I19" s="6">
        <f>'Balance Sheet'!I12</f>
        <v>628.84593270000005</v>
      </c>
    </row>
  </sheetData>
  <mergeCells count="1">
    <mergeCell ref="E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B8664-A725-461C-A10A-E9C79DE8D6DF}">
  <dimension ref="A1:N44"/>
  <sheetViews>
    <sheetView showGridLines="0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2" width="3.33203125" customWidth="1"/>
    <col min="3" max="3" width="35.21875" customWidth="1"/>
    <col min="4" max="4" width="3.44140625" customWidth="1"/>
  </cols>
  <sheetData>
    <row r="1" spans="1:14" ht="18" x14ac:dyDescent="0.35">
      <c r="A1" s="2" t="s">
        <v>114</v>
      </c>
    </row>
    <row r="2" spans="1:14" x14ac:dyDescent="0.3">
      <c r="A2" s="1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</row>
    <row r="4" spans="1:14" x14ac:dyDescent="0.3">
      <c r="A4" s="3" t="s">
        <v>115</v>
      </c>
    </row>
    <row r="5" spans="1:14" x14ac:dyDescent="0.3">
      <c r="B5" t="s">
        <v>30</v>
      </c>
      <c r="F5" s="6">
        <f>'P&amp;L'!F22</f>
        <v>94.363151099999911</v>
      </c>
      <c r="G5" s="6">
        <f>'P&amp;L'!G22</f>
        <v>80.47867070000018</v>
      </c>
      <c r="H5" s="6">
        <f>'P&amp;L'!H22</f>
        <v>167.0333867999999</v>
      </c>
      <c r="I5" s="6">
        <f>'P&amp;L'!I22</f>
        <v>148.09639749999997</v>
      </c>
      <c r="J5" s="6">
        <f>'P&amp;L'!J22</f>
        <v>223.23763347078722</v>
      </c>
      <c r="K5" s="6">
        <f>'P&amp;L'!K22</f>
        <v>274.2289372153266</v>
      </c>
      <c r="L5" s="6">
        <f>'P&amp;L'!L22</f>
        <v>358.57902752735822</v>
      </c>
      <c r="M5" s="6">
        <f>'P&amp;L'!M22</f>
        <v>428.02901362128443</v>
      </c>
      <c r="N5" s="6">
        <f>'P&amp;L'!N22</f>
        <v>557.26605303878102</v>
      </c>
    </row>
    <row r="6" spans="1:14" x14ac:dyDescent="0.3">
      <c r="B6" t="s">
        <v>116</v>
      </c>
      <c r="F6" s="6">
        <f>'Balance Sheet'!F35-'Balance Sheet'!E35</f>
        <v>20.785314099999994</v>
      </c>
      <c r="G6" s="6">
        <f>'Balance Sheet'!G35-'Balance Sheet'!F35</f>
        <v>24.035899700000002</v>
      </c>
      <c r="H6" s="6">
        <f>'Balance Sheet'!H35-'Balance Sheet'!G35</f>
        <v>39.611837400000013</v>
      </c>
      <c r="I6" s="6">
        <f>'Balance Sheet'!I35-'Balance Sheet'!H35</f>
        <v>38.28752799999998</v>
      </c>
      <c r="J6" s="6">
        <f>'Balance Sheet'!J35-'Balance Sheet'!I35</f>
        <v>45.592004286017612</v>
      </c>
      <c r="K6" s="6">
        <f>'Balance Sheet'!K35-'Balance Sheet'!J35</f>
        <v>49.455437368879871</v>
      </c>
      <c r="L6" s="6">
        <f>'Balance Sheet'!L35-'Balance Sheet'!K35</f>
        <v>52.552355995169648</v>
      </c>
      <c r="M6" s="6">
        <f>'Balance Sheet'!M35-'Balance Sheet'!L35</f>
        <v>54.875044964887024</v>
      </c>
      <c r="N6" s="6">
        <f>'Balance Sheet'!N35-'Balance Sheet'!M35</f>
        <v>56.423504278031885</v>
      </c>
    </row>
    <row r="8" spans="1:14" x14ac:dyDescent="0.3">
      <c r="A8" s="3" t="s">
        <v>117</v>
      </c>
    </row>
    <row r="9" spans="1:14" x14ac:dyDescent="0.3">
      <c r="B9" t="s">
        <v>118</v>
      </c>
      <c r="F9" s="6">
        <f>'Balance Sheet'!F6-'Balance Sheet'!E6</f>
        <v>29.206923599999996</v>
      </c>
      <c r="G9" s="6">
        <f>'Balance Sheet'!G6-'Balance Sheet'!F6</f>
        <v>11.059426399999992</v>
      </c>
      <c r="H9" s="6">
        <f>'Balance Sheet'!H6-'Balance Sheet'!G6</f>
        <v>51.842203700000013</v>
      </c>
      <c r="I9" s="6">
        <f>'Balance Sheet'!I6-'Balance Sheet'!H6</f>
        <v>26.249703799999992</v>
      </c>
      <c r="J9" s="6">
        <f>'Balance Sheet'!J6-'Balance Sheet'!I6</f>
        <v>-1.9105321319204336</v>
      </c>
      <c r="K9" s="6">
        <f>'Balance Sheet'!K6-'Balance Sheet'!J6</f>
        <v>14.837172617096371</v>
      </c>
      <c r="L9" s="6">
        <f>'Balance Sheet'!L6-'Balance Sheet'!K6</f>
        <v>22.022225826398653</v>
      </c>
      <c r="M9" s="6">
        <f>'Balance Sheet'!M6-'Balance Sheet'!L6</f>
        <v>9.4785718052648349</v>
      </c>
      <c r="N9" s="6">
        <f>'Balance Sheet'!N6-'Balance Sheet'!M6</f>
        <v>2.5229725637510114</v>
      </c>
    </row>
    <row r="10" spans="1:14" x14ac:dyDescent="0.3">
      <c r="B10" t="s">
        <v>119</v>
      </c>
      <c r="F10" s="6">
        <f>'Balance Sheet'!F7-'Balance Sheet'!E7</f>
        <v>18.978806499999997</v>
      </c>
      <c r="G10" s="6">
        <f>'Balance Sheet'!G7-'Balance Sheet'!F7</f>
        <v>-6.1632462999999973</v>
      </c>
      <c r="H10" s="6">
        <f>'Balance Sheet'!H7-'Balance Sheet'!G7</f>
        <v>82.934272300000003</v>
      </c>
      <c r="I10" s="6">
        <f>'Balance Sheet'!I7-'Balance Sheet'!H7</f>
        <v>3.7687793000000056</v>
      </c>
      <c r="J10" s="6">
        <f>'Balance Sheet'!J7-'Balance Sheet'!I7</f>
        <v>-7.6331588554214989</v>
      </c>
      <c r="K10" s="6">
        <f>'Balance Sheet'!K7-'Balance Sheet'!J7</f>
        <v>13.850138484448337</v>
      </c>
      <c r="L10" s="6">
        <f>'Balance Sheet'!L7-'Balance Sheet'!K7</f>
        <v>25.634946565659703</v>
      </c>
      <c r="M10" s="6">
        <f>'Balance Sheet'!M7-'Balance Sheet'!L7</f>
        <v>2.3483547916635814</v>
      </c>
      <c r="N10" s="6">
        <f>'Balance Sheet'!N7-'Balance Sheet'!M7</f>
        <v>1.4396711119613315</v>
      </c>
    </row>
    <row r="11" spans="1:14" x14ac:dyDescent="0.3">
      <c r="B11" t="s">
        <v>120</v>
      </c>
      <c r="F11" s="6">
        <f>'Balance Sheet'!F20-'Balance Sheet'!E20</f>
        <v>3.3413094000000019</v>
      </c>
      <c r="G11" s="6">
        <f>'Balance Sheet'!G20-'Balance Sheet'!F20</f>
        <v>1.3002267999999972</v>
      </c>
      <c r="H11" s="6">
        <f>'Balance Sheet'!H20-'Balance Sheet'!G20</f>
        <v>3.3844555000000014</v>
      </c>
      <c r="I11" s="6">
        <f>'Balance Sheet'!I20-'Balance Sheet'!H20</f>
        <v>-1.1419171000000006</v>
      </c>
      <c r="J11" s="6">
        <f>'Balance Sheet'!J20-'Balance Sheet'!I20</f>
        <v>11.331758175150178</v>
      </c>
      <c r="K11" s="6">
        <f>'Balance Sheet'!K20-'Balance Sheet'!J20</f>
        <v>4.1681844521743869</v>
      </c>
      <c r="L11" s="6">
        <f>'Balance Sheet'!L20-'Balance Sheet'!K20</f>
        <v>4.7958654248641466</v>
      </c>
      <c r="M11" s="6">
        <f>'Balance Sheet'!M20-'Balance Sheet'!L20</f>
        <v>5.2998225004083466</v>
      </c>
      <c r="N11" s="6">
        <f>'Balance Sheet'!N20-'Balance Sheet'!M20</f>
        <v>8.096610402942062</v>
      </c>
    </row>
    <row r="12" spans="1:14" x14ac:dyDescent="0.3">
      <c r="B12" t="s">
        <v>121</v>
      </c>
      <c r="F12" s="6">
        <f>-('Balance Sheet'!F26-'Balance Sheet'!E26)</f>
        <v>-102.16222890000002</v>
      </c>
      <c r="G12" s="6">
        <f>-('Balance Sheet'!G26-'Balance Sheet'!F26)</f>
        <v>33.50670310000001</v>
      </c>
      <c r="H12" s="6">
        <f>-('Balance Sheet'!H26-'Balance Sheet'!G26)</f>
        <v>-56.745490200000006</v>
      </c>
      <c r="I12" s="6">
        <f>-('Balance Sheet'!I26-'Balance Sheet'!H26)</f>
        <v>-67.124272700000006</v>
      </c>
      <c r="J12" s="6">
        <f>-('Balance Sheet'!J26-'Balance Sheet'!I26)</f>
        <v>-66.499939511681873</v>
      </c>
      <c r="K12" s="6">
        <f>-('Balance Sheet'!K26-'Balance Sheet'!J26)</f>
        <v>-74.020392675226731</v>
      </c>
      <c r="L12" s="6">
        <f>-('Balance Sheet'!L26-'Balance Sheet'!K26)</f>
        <v>-95.601844897011858</v>
      </c>
      <c r="M12" s="6">
        <f>-('Balance Sheet'!M26-'Balance Sheet'!L26)</f>
        <v>-148.70342238399962</v>
      </c>
      <c r="N12" s="6">
        <f>-('Balance Sheet'!N26-'Balance Sheet'!M26)</f>
        <v>-138.80418331860756</v>
      </c>
    </row>
    <row r="13" spans="1:14" x14ac:dyDescent="0.3">
      <c r="B13" t="s">
        <v>122</v>
      </c>
      <c r="F13">
        <f>-('Balance Sheet'!F27-'Balance Sheet'!E27)</f>
        <v>-80.513704200000006</v>
      </c>
      <c r="G13">
        <f>-('Balance Sheet'!G27-'Balance Sheet'!F27)</f>
        <v>18.618897900000007</v>
      </c>
      <c r="H13">
        <f>-('Balance Sheet'!H27-'Balance Sheet'!G27)</f>
        <v>-34.446167400000007</v>
      </c>
      <c r="I13">
        <f>-('Balance Sheet'!I27-'Balance Sheet'!H27)</f>
        <v>-63.366922100000011</v>
      </c>
      <c r="J13">
        <f>-('Balance Sheet'!J27-'Balance Sheet'!I27)</f>
        <v>-29.427448138234638</v>
      </c>
      <c r="K13">
        <f>-('Balance Sheet'!K27-'Balance Sheet'!J27)</f>
        <v>-2.9008251029771941</v>
      </c>
      <c r="L13">
        <f>-('Balance Sheet'!L27-'Balance Sheet'!K27)</f>
        <v>-28.371571536414592</v>
      </c>
      <c r="M13">
        <f>-('Balance Sheet'!M27-'Balance Sheet'!L27)</f>
        <v>-24.410236264666025</v>
      </c>
      <c r="N13">
        <f>-('Balance Sheet'!N27-'Balance Sheet'!M27)</f>
        <v>-8.1099585922259507</v>
      </c>
    </row>
    <row r="14" spans="1:14" x14ac:dyDescent="0.3">
      <c r="B14" t="s">
        <v>123</v>
      </c>
      <c r="F14" s="6">
        <f>-('Balance Sheet'!F29-'Balance Sheet'!E29)</f>
        <v>-17.005046800000002</v>
      </c>
      <c r="G14" s="6">
        <f>-('Balance Sheet'!G29-'Balance Sheet'!F29)</f>
        <v>15.958722500000007</v>
      </c>
      <c r="H14" s="6">
        <f>-('Balance Sheet'!H29-'Balance Sheet'!G29)</f>
        <v>-21.699016999999998</v>
      </c>
      <c r="I14" s="6">
        <f>-('Balance Sheet'!I29-'Balance Sheet'!H29)</f>
        <v>-2.5718649000000084</v>
      </c>
      <c r="J14" s="6">
        <f>-('Balance Sheet'!J29-'Balance Sheet'!I29)</f>
        <v>-64.586033671790531</v>
      </c>
      <c r="K14" s="6">
        <f>-('Balance Sheet'!K29-'Balance Sheet'!J29)</f>
        <v>-23.53216713604067</v>
      </c>
      <c r="L14" s="6">
        <f>-('Balance Sheet'!L29-'Balance Sheet'!K29)</f>
        <v>-46.356211386360286</v>
      </c>
      <c r="M14" s="6">
        <f>-('Balance Sheet'!M29-'Balance Sheet'!L29)</f>
        <v>-55.730137953215234</v>
      </c>
      <c r="N14" s="6">
        <f>-('Balance Sheet'!N29-'Balance Sheet'!M29)</f>
        <v>-85.07430583600086</v>
      </c>
    </row>
    <row r="15" spans="1:14" x14ac:dyDescent="0.3">
      <c r="B15" t="s">
        <v>124</v>
      </c>
      <c r="F15" s="6">
        <f>-('Balance Sheet'!F30-'Balance Sheet'!E30)</f>
        <v>0.31105680000000002</v>
      </c>
      <c r="G15" s="6">
        <f>-('Balance Sheet'!G30-'Balance Sheet'!F30)</f>
        <v>0</v>
      </c>
      <c r="H15" s="6">
        <f>-('Balance Sheet'!H30-'Balance Sheet'!G30)</f>
        <v>0</v>
      </c>
      <c r="I15" s="6">
        <f>-('Balance Sheet'!I30-'Balance Sheet'!H30)</f>
        <v>0</v>
      </c>
      <c r="J15" s="6">
        <f>-('Balance Sheet'!J30-'Balance Sheet'!I30)</f>
        <v>0</v>
      </c>
      <c r="K15" s="6">
        <f>-('Balance Sheet'!K30-'Balance Sheet'!J30)</f>
        <v>0</v>
      </c>
      <c r="L15" s="6">
        <f>-('Balance Sheet'!L30-'Balance Sheet'!K30)</f>
        <v>0</v>
      </c>
      <c r="M15" s="6">
        <f>-('Balance Sheet'!M30-'Balance Sheet'!L30)</f>
        <v>0</v>
      </c>
      <c r="N15" s="6">
        <f>-('Balance Sheet'!N30-'Balance Sheet'!M30)</f>
        <v>0</v>
      </c>
    </row>
    <row r="16" spans="1:14" x14ac:dyDescent="0.3">
      <c r="A16" s="14"/>
      <c r="B16" s="15" t="s">
        <v>117</v>
      </c>
      <c r="C16" s="14"/>
      <c r="D16" s="14"/>
      <c r="E16" s="14"/>
      <c r="F16" s="29">
        <f>SUM(F9:F15)</f>
        <v>-147.84288360000005</v>
      </c>
      <c r="G16" s="29">
        <f t="shared" ref="G16:N16" si="0">SUM(G9:G15)</f>
        <v>74.28073040000001</v>
      </c>
      <c r="H16" s="29">
        <f t="shared" si="0"/>
        <v>25.270256899999993</v>
      </c>
      <c r="I16" s="29">
        <f t="shared" si="0"/>
        <v>-104.18649370000003</v>
      </c>
      <c r="J16" s="29">
        <f t="shared" si="0"/>
        <v>-158.7253541338988</v>
      </c>
      <c r="K16" s="29">
        <f t="shared" si="0"/>
        <v>-67.5978893605255</v>
      </c>
      <c r="L16" s="29">
        <f t="shared" si="0"/>
        <v>-117.87659000286423</v>
      </c>
      <c r="M16" s="29">
        <f t="shared" si="0"/>
        <v>-211.71704750454413</v>
      </c>
      <c r="N16" s="29">
        <f t="shared" si="0"/>
        <v>-219.92919366817995</v>
      </c>
    </row>
    <row r="18" spans="1:14" x14ac:dyDescent="0.3">
      <c r="B18" s="3" t="s">
        <v>125</v>
      </c>
      <c r="C18" s="3"/>
      <c r="F18" s="13">
        <f>F5+F6+F16</f>
        <v>-32.694418400000146</v>
      </c>
      <c r="G18" s="13">
        <f t="shared" ref="G18:N18" si="1">G5+G6+G16</f>
        <v>178.79530080000018</v>
      </c>
      <c r="H18" s="13">
        <f t="shared" si="1"/>
        <v>231.91548109999991</v>
      </c>
      <c r="I18" s="13">
        <f t="shared" si="1"/>
        <v>82.197431799999919</v>
      </c>
      <c r="J18" s="13">
        <f t="shared" si="1"/>
        <v>110.104283622906</v>
      </c>
      <c r="K18" s="13">
        <f t="shared" si="1"/>
        <v>256.08648522368094</v>
      </c>
      <c r="L18" s="13">
        <f t="shared" si="1"/>
        <v>293.25479351966362</v>
      </c>
      <c r="M18" s="13">
        <f t="shared" si="1"/>
        <v>271.18701108162736</v>
      </c>
      <c r="N18" s="13">
        <f t="shared" si="1"/>
        <v>393.7603636486329</v>
      </c>
    </row>
    <row r="20" spans="1:14" x14ac:dyDescent="0.3">
      <c r="A20" s="3" t="s">
        <v>126</v>
      </c>
    </row>
    <row r="21" spans="1:14" x14ac:dyDescent="0.3">
      <c r="B21" t="s">
        <v>127</v>
      </c>
      <c r="F21" s="6">
        <f>-('Asset Schedule'!F8-'Asset Schedule'!E8)</f>
        <v>-52.821000000000026</v>
      </c>
      <c r="G21" s="6">
        <f>-('Asset Schedule'!G8-'Asset Schedule'!F8)</f>
        <v>-116.50999999999999</v>
      </c>
      <c r="H21" s="6">
        <f>-('Asset Schedule'!H8-'Asset Schedule'!G8)</f>
        <v>-64.009999999999991</v>
      </c>
      <c r="I21" s="6">
        <f>-('Asset Schedule'!I8-'Asset Schedule'!H8)</f>
        <v>-47.649999999999977</v>
      </c>
      <c r="J21" s="6">
        <f>-('Asset Schedule'!J8-'Asset Schedule'!I8)</f>
        <v>-50</v>
      </c>
      <c r="K21" s="6">
        <f>-('Asset Schedule'!K8-'Asset Schedule'!J8)</f>
        <v>-50</v>
      </c>
      <c r="L21" s="6">
        <f>-('Asset Schedule'!L8-'Asset Schedule'!K8)</f>
        <v>-40</v>
      </c>
      <c r="M21" s="6">
        <f>-('Asset Schedule'!M8-'Asset Schedule'!L8)</f>
        <v>-30</v>
      </c>
      <c r="N21" s="6">
        <f>-('Asset Schedule'!N8-'Asset Schedule'!M8)</f>
        <v>-20</v>
      </c>
    </row>
    <row r="22" spans="1:14" x14ac:dyDescent="0.3">
      <c r="B22" t="s">
        <v>128</v>
      </c>
      <c r="F22">
        <f>'Asset Schedule'!F7</f>
        <v>0</v>
      </c>
      <c r="G22">
        <f>'Asset Schedule'!G7</f>
        <v>0</v>
      </c>
      <c r="H22">
        <f>'Asset Schedule'!H7</f>
        <v>0</v>
      </c>
      <c r="I22">
        <f>'Asset Schedule'!I7</f>
        <v>0</v>
      </c>
      <c r="J22">
        <f>'Asset Schedule'!J7</f>
        <v>0</v>
      </c>
      <c r="K22">
        <f>'Asset Schedule'!K7</f>
        <v>0</v>
      </c>
      <c r="L22">
        <f>'Asset Schedule'!L7</f>
        <v>0</v>
      </c>
      <c r="M22">
        <f>'Asset Schedule'!M7</f>
        <v>0</v>
      </c>
      <c r="N22">
        <f>'Asset Schedule'!N7</f>
        <v>0</v>
      </c>
    </row>
    <row r="23" spans="1:14" x14ac:dyDescent="0.3">
      <c r="B23" t="s">
        <v>129</v>
      </c>
      <c r="F23" s="6">
        <f>-('Balance Sheet'!F38-'Balance Sheet'!E38)</f>
        <v>-59.574231499999996</v>
      </c>
      <c r="G23" s="6">
        <f>-('Balance Sheet'!G38-'Balance Sheet'!F38)</f>
        <v>26.136494299999995</v>
      </c>
      <c r="H23" s="6">
        <f>-('Balance Sheet'!H38-'Balance Sheet'!G38)</f>
        <v>16.915348000000002</v>
      </c>
      <c r="I23" s="6">
        <f>-('Balance Sheet'!I38-'Balance Sheet'!H38)</f>
        <v>-14.851948399999998</v>
      </c>
      <c r="J23" s="6">
        <f>-('Balance Sheet'!J38-'Balance Sheet'!I38)</f>
        <v>-37.605564172435813</v>
      </c>
      <c r="K23" s="6">
        <f>-('Balance Sheet'!K38-'Balance Sheet'!J38)</f>
        <v>4.3199426725698942</v>
      </c>
      <c r="L23" s="6">
        <f>-('Balance Sheet'!L38-'Balance Sheet'!K38)</f>
        <v>-10.688300636564961</v>
      </c>
      <c r="M23" s="6">
        <f>-('Balance Sheet'!M38-'Balance Sheet'!L38)</f>
        <v>-28.389317087892195</v>
      </c>
      <c r="N23" s="6">
        <f>-('Balance Sheet'!N38-'Balance Sheet'!M38)</f>
        <v>-33.351335104120608</v>
      </c>
    </row>
    <row r="24" spans="1:14" x14ac:dyDescent="0.3">
      <c r="B24" t="s">
        <v>130</v>
      </c>
      <c r="F24" s="6">
        <f>-('Balance Sheet'!F39-'Balance Sheet'!E39)</f>
        <v>-6.4968999999983623E-3</v>
      </c>
      <c r="G24" s="6">
        <f>-('Balance Sheet'!G39-'Balance Sheet'!F39)</f>
        <v>-30.897956299999997</v>
      </c>
      <c r="H24" s="6">
        <f>-('Balance Sheet'!H39-'Balance Sheet'!G39)</f>
        <v>31.023012399999995</v>
      </c>
      <c r="I24" s="6">
        <f>-('Balance Sheet'!I39-'Balance Sheet'!H39)</f>
        <v>0</v>
      </c>
      <c r="J24" s="6">
        <f>-('Balance Sheet'!J39-'Balance Sheet'!I39)</f>
        <v>-4.5313298554999974</v>
      </c>
      <c r="K24" s="6">
        <f>-('Balance Sheet'!K39-'Balance Sheet'!J39)</f>
        <v>-1.75</v>
      </c>
      <c r="L24" s="6">
        <f>-('Balance Sheet'!L39-'Balance Sheet'!K39)</f>
        <v>-1.4000000000000021</v>
      </c>
      <c r="M24" s="6">
        <f>-('Balance Sheet'!M39-'Balance Sheet'!L39)</f>
        <v>-1.0500000000000007</v>
      </c>
      <c r="N24" s="6">
        <f>-('Balance Sheet'!N39-'Balance Sheet'!M39)</f>
        <v>-0.69999999999999929</v>
      </c>
    </row>
    <row r="25" spans="1:14" x14ac:dyDescent="0.3">
      <c r="A25" s="14"/>
      <c r="B25" s="15" t="s">
        <v>126</v>
      </c>
      <c r="C25" s="14"/>
      <c r="D25" s="14"/>
      <c r="E25" s="14"/>
      <c r="F25" s="37">
        <f>SUM(F21:F24)</f>
        <v>-112.40172840000002</v>
      </c>
      <c r="G25" s="37">
        <f t="shared" ref="G25:N25" si="2">SUM(G21:G24)</f>
        <v>-121.27146199999999</v>
      </c>
      <c r="H25" s="37">
        <f t="shared" si="2"/>
        <v>-16.071639599999994</v>
      </c>
      <c r="I25" s="37">
        <f t="shared" si="2"/>
        <v>-62.501948399999975</v>
      </c>
      <c r="J25" s="37">
        <f t="shared" si="2"/>
        <v>-92.136894027935796</v>
      </c>
      <c r="K25" s="37">
        <f t="shared" si="2"/>
        <v>-47.430057327430106</v>
      </c>
      <c r="L25" s="37">
        <f t="shared" si="2"/>
        <v>-52.088300636564966</v>
      </c>
      <c r="M25" s="37">
        <f t="shared" si="2"/>
        <v>-59.439317087892192</v>
      </c>
      <c r="N25" s="37">
        <f t="shared" si="2"/>
        <v>-54.051335104120611</v>
      </c>
    </row>
    <row r="27" spans="1:14" x14ac:dyDescent="0.3">
      <c r="A27" s="3" t="s">
        <v>131</v>
      </c>
    </row>
    <row r="28" spans="1:14" x14ac:dyDescent="0.3">
      <c r="B28" t="s">
        <v>132</v>
      </c>
      <c r="F28" s="6">
        <f>'Reserves schedule '!F4-'Reserves schedule '!E4</f>
        <v>0</v>
      </c>
      <c r="G28" s="6">
        <f>'Reserves schedule '!G4-'Reserves schedule '!F4</f>
        <v>5.6937500000000014</v>
      </c>
      <c r="H28" s="6">
        <f>'Reserves schedule '!H4-'Reserves schedule '!G4</f>
        <v>0</v>
      </c>
      <c r="I28" s="6">
        <f>'Reserves schedule '!I4-'Reserves schedule '!H4</f>
        <v>0</v>
      </c>
      <c r="J28" s="6">
        <f>'Reserves schedule '!J4-'Reserves schedule '!I4</f>
        <v>0</v>
      </c>
      <c r="K28" s="6">
        <f>'Reserves schedule '!K4-'Reserves schedule '!J4</f>
        <v>0</v>
      </c>
      <c r="L28" s="6">
        <f>'Reserves schedule '!L4-'Reserves schedule '!K4</f>
        <v>0</v>
      </c>
      <c r="M28" s="6">
        <f>'Reserves schedule '!M4-'Reserves schedule '!L4</f>
        <v>0</v>
      </c>
      <c r="N28" s="6">
        <f>'Reserves schedule '!N4-'Reserves schedule '!M4</f>
        <v>0</v>
      </c>
    </row>
    <row r="29" spans="1:14" x14ac:dyDescent="0.3">
      <c r="B29" t="s">
        <v>133</v>
      </c>
      <c r="F29" s="6">
        <f>'Balance Sheet'!F16-'Balance Sheet'!E16</f>
        <v>119.16714529999999</v>
      </c>
      <c r="G29" s="6">
        <f>'Balance Sheet'!G16-'Balance Sheet'!F16</f>
        <v>-18.822263899999996</v>
      </c>
      <c r="H29" s="6">
        <f>'Balance Sheet'!H16-'Balance Sheet'!G16</f>
        <v>-180.53760929999999</v>
      </c>
      <c r="I29" s="6">
        <f>'Balance Sheet'!I16-'Balance Sheet'!H16</f>
        <v>-3.2502959999999987</v>
      </c>
      <c r="J29" s="6">
        <f>'Balance Sheet'!J16-'Balance Sheet'!I16</f>
        <v>-6.976100000017027E-3</v>
      </c>
      <c r="K29" s="6">
        <f>'Balance Sheet'!K16-'Balance Sheet'!J16</f>
        <v>0</v>
      </c>
      <c r="L29" s="6">
        <f>'Balance Sheet'!L16-'Balance Sheet'!K16</f>
        <v>0</v>
      </c>
      <c r="M29" s="6">
        <f>'Balance Sheet'!M16-'Balance Sheet'!L16</f>
        <v>0</v>
      </c>
      <c r="N29" s="6">
        <f>'Balance Sheet'!N16-'Balance Sheet'!M16</f>
        <v>0</v>
      </c>
    </row>
    <row r="30" spans="1:14" x14ac:dyDescent="0.3">
      <c r="B30" t="s">
        <v>134</v>
      </c>
      <c r="F30" s="6">
        <f>'Balance Sheet'!F17-'Balance Sheet'!E17</f>
        <v>56.3865227</v>
      </c>
      <c r="G30" s="6">
        <f>'Balance Sheet'!G17-'Balance Sheet'!F17</f>
        <v>-11.568798700000002</v>
      </c>
      <c r="H30" s="6">
        <f>'Balance Sheet'!H17-'Balance Sheet'!G17</f>
        <v>-14.1439381</v>
      </c>
      <c r="I30" s="6">
        <f>'Balance Sheet'!I17-'Balance Sheet'!H17</f>
        <v>7.1068792000000087</v>
      </c>
      <c r="J30" s="6">
        <f>'Balance Sheet'!J17-'Balance Sheet'!I17</f>
        <v>-6.6510000000619129E-4</v>
      </c>
      <c r="K30" s="6">
        <f>'Balance Sheet'!K17-'Balance Sheet'!J17</f>
        <v>0</v>
      </c>
      <c r="L30" s="6">
        <f>'Balance Sheet'!L17-'Balance Sheet'!K17</f>
        <v>0</v>
      </c>
      <c r="M30" s="6">
        <f>'Balance Sheet'!M17-'Balance Sheet'!L17</f>
        <v>0</v>
      </c>
      <c r="N30" s="6">
        <f>'Balance Sheet'!N17-'Balance Sheet'!M17</f>
        <v>0</v>
      </c>
    </row>
    <row r="31" spans="1:14" x14ac:dyDescent="0.3">
      <c r="B31" s="36" t="s">
        <v>109</v>
      </c>
      <c r="F31" s="6">
        <f>'Reserves schedule '!F13</f>
        <v>-0.2644898</v>
      </c>
      <c r="G31" s="6">
        <f>'Reserves schedule '!G13</f>
        <v>0</v>
      </c>
      <c r="H31" s="6">
        <f>'Reserves schedule '!H13</f>
        <v>0</v>
      </c>
      <c r="I31" s="6">
        <f>'Reserves schedule '!I13</f>
        <v>0</v>
      </c>
      <c r="J31" s="6">
        <f>'Reserves schedule '!J13</f>
        <v>0</v>
      </c>
      <c r="K31" s="6">
        <f>'Reserves schedule '!K13</f>
        <v>0</v>
      </c>
      <c r="L31" s="6">
        <f>'Reserves schedule '!L13</f>
        <v>0</v>
      </c>
      <c r="M31" s="6">
        <f>'Reserves schedule '!M13</f>
        <v>0</v>
      </c>
      <c r="N31" s="6">
        <f>'Reserves schedule '!N13</f>
        <v>0</v>
      </c>
    </row>
    <row r="32" spans="1:14" x14ac:dyDescent="0.3">
      <c r="B32" s="36" t="s">
        <v>110</v>
      </c>
      <c r="F32" s="6">
        <f>'Reserves schedule '!F14</f>
        <v>0</v>
      </c>
      <c r="G32" s="6">
        <f>'Reserves schedule '!G14</f>
        <v>-5.6937499999999996</v>
      </c>
      <c r="H32" s="6">
        <f>'Reserves schedule '!H14</f>
        <v>0</v>
      </c>
      <c r="I32" s="6">
        <f>'Reserves schedule '!I14</f>
        <v>0</v>
      </c>
      <c r="J32" s="6">
        <f>'Reserves schedule '!J14</f>
        <v>0</v>
      </c>
      <c r="K32" s="6">
        <f>'Reserves schedule '!K14</f>
        <v>0</v>
      </c>
      <c r="L32" s="6">
        <f>'Reserves schedule '!L14</f>
        <v>0</v>
      </c>
      <c r="M32" s="6">
        <f>'Reserves schedule '!M14</f>
        <v>0</v>
      </c>
      <c r="N32" s="6">
        <f>'Reserves schedule '!N14</f>
        <v>0</v>
      </c>
    </row>
    <row r="33" spans="1:14" x14ac:dyDescent="0.3">
      <c r="B33" t="s">
        <v>135</v>
      </c>
      <c r="F33" s="6">
        <f>-'P&amp;L'!F27</f>
        <v>-3.9856250000000002</v>
      </c>
      <c r="G33" s="6">
        <f>-'P&amp;L'!G27</f>
        <v>-6.8324999999999996</v>
      </c>
      <c r="H33" s="6">
        <f>-'P&amp;L'!H27</f>
        <v>-24.767812500000002</v>
      </c>
      <c r="I33" s="6">
        <f>-'P&amp;L'!I27</f>
        <v>-39.286875000000002</v>
      </c>
      <c r="J33" s="6">
        <f>-'P&amp;L'!J27</f>
        <v>-27.923332930815505</v>
      </c>
      <c r="K33" s="6">
        <f>-'P&amp;L'!K27</f>
        <v>-36.515145706738529</v>
      </c>
      <c r="L33" s="6">
        <f>-'P&amp;L'!L27</f>
        <v>-54.26714208616059</v>
      </c>
      <c r="M33" s="6">
        <f>-'P&amp;L'!M27</f>
        <v>-70.465410604737727</v>
      </c>
      <c r="N33" s="6">
        <f>-'P&amp;L'!N27</f>
        <v>-93.563330756727694</v>
      </c>
    </row>
    <row r="34" spans="1:14" x14ac:dyDescent="0.3">
      <c r="B34" t="s">
        <v>136</v>
      </c>
      <c r="F34" s="6">
        <f>-'P&amp;L'!F28</f>
        <v>-0.67735699999999999</v>
      </c>
      <c r="G34" s="6">
        <f>-'P&amp;L'!G28</f>
        <v>-1.1611833</v>
      </c>
      <c r="H34" s="6">
        <f>-'P&amp;L'!H28</f>
        <v>-4.2092897000000002</v>
      </c>
      <c r="I34" s="6">
        <f>-'P&amp;L'!I28</f>
        <v>-6.5250588</v>
      </c>
      <c r="J34" s="6">
        <f>-'P&amp;L'!J28</f>
        <v>-4.7239996680950203</v>
      </c>
      <c r="K34" s="6">
        <f>-'P&amp;L'!K28</f>
        <v>-6.1718994330921797</v>
      </c>
      <c r="L34" s="6">
        <f>-'P&amp;L'!L28</f>
        <v>-9.1623338727914909</v>
      </c>
      <c r="M34" s="6">
        <f>-'P&amp;L'!M28</f>
        <v>-11.881533576752426</v>
      </c>
      <c r="N34" s="6">
        <f>-'P&amp;L'!N28</f>
        <v>-15.751212964767538</v>
      </c>
    </row>
    <row r="35" spans="1:14" x14ac:dyDescent="0.3">
      <c r="A35" s="14"/>
      <c r="B35" s="15" t="s">
        <v>131</v>
      </c>
      <c r="C35" s="14"/>
      <c r="D35" s="14"/>
      <c r="E35" s="14"/>
      <c r="F35" s="29">
        <f>SUM(F28:F34)</f>
        <v>170.62619619999998</v>
      </c>
      <c r="G35" s="29">
        <f t="shared" ref="G35:N35" si="3">SUM(G28:G34)</f>
        <v>-38.384745899999992</v>
      </c>
      <c r="H35" s="29">
        <f t="shared" si="3"/>
        <v>-223.65864959999999</v>
      </c>
      <c r="I35" s="29">
        <f t="shared" si="3"/>
        <v>-41.955350599999989</v>
      </c>
      <c r="J35" s="29">
        <f t="shared" si="3"/>
        <v>-32.654973798910547</v>
      </c>
      <c r="K35" s="29">
        <f t="shared" si="3"/>
        <v>-42.687045139830708</v>
      </c>
      <c r="L35" s="29">
        <f t="shared" si="3"/>
        <v>-63.429475958952082</v>
      </c>
      <c r="M35" s="29">
        <f t="shared" si="3"/>
        <v>-82.346944181490159</v>
      </c>
      <c r="N35" s="29">
        <f t="shared" si="3"/>
        <v>-109.31454372149523</v>
      </c>
    </row>
    <row r="37" spans="1:14" ht="15" thickBot="1" x14ac:dyDescent="0.35">
      <c r="A37" s="16"/>
      <c r="B37" s="17" t="s">
        <v>137</v>
      </c>
      <c r="C37" s="17"/>
      <c r="D37" s="16"/>
      <c r="E37" s="16"/>
      <c r="F37" s="38">
        <f>F18+F25+F35</f>
        <v>25.530049399999825</v>
      </c>
      <c r="G37" s="38">
        <f t="shared" ref="G37:N37" si="4">G18+G25+G35</f>
        <v>19.1390929000002</v>
      </c>
      <c r="H37" s="38">
        <f t="shared" si="4"/>
        <v>-7.8148081000000786</v>
      </c>
      <c r="I37" s="38">
        <f t="shared" si="4"/>
        <v>-22.259867200000045</v>
      </c>
      <c r="J37" s="38">
        <f t="shared" si="4"/>
        <v>-14.687584203940347</v>
      </c>
      <c r="K37" s="38">
        <f t="shared" si="4"/>
        <v>165.96938275642012</v>
      </c>
      <c r="L37" s="38">
        <f t="shared" si="4"/>
        <v>177.73701692414659</v>
      </c>
      <c r="M37" s="38">
        <f t="shared" si="4"/>
        <v>129.40074981224501</v>
      </c>
      <c r="N37" s="38">
        <f t="shared" si="4"/>
        <v>230.39448482301708</v>
      </c>
    </row>
    <row r="38" spans="1:14" ht="15" thickTop="1" x14ac:dyDescent="0.3"/>
    <row r="39" spans="1:14" x14ac:dyDescent="0.3">
      <c r="A39" s="12" t="s">
        <v>138</v>
      </c>
    </row>
    <row r="40" spans="1:14" x14ac:dyDescent="0.3">
      <c r="B40" t="s">
        <v>139</v>
      </c>
      <c r="F40" s="6">
        <f>E42</f>
        <v>25.600027999999998</v>
      </c>
      <c r="G40" s="6">
        <f t="shared" ref="G40:N40" si="5">F42</f>
        <v>51.13007739999982</v>
      </c>
      <c r="H40" s="6">
        <f t="shared" si="5"/>
        <v>70.269170300000013</v>
      </c>
      <c r="I40" s="6">
        <f t="shared" si="5"/>
        <v>62.454362199999935</v>
      </c>
      <c r="J40" s="6">
        <f t="shared" si="5"/>
        <v>40.19449499999989</v>
      </c>
      <c r="K40" s="6">
        <f t="shared" si="5"/>
        <v>25.506910796059543</v>
      </c>
      <c r="L40" s="6">
        <f t="shared" si="5"/>
        <v>191.47629355247966</v>
      </c>
      <c r="M40" s="6">
        <f t="shared" si="5"/>
        <v>369.21331047662625</v>
      </c>
      <c r="N40" s="6">
        <f t="shared" si="5"/>
        <v>498.61406028887126</v>
      </c>
    </row>
    <row r="41" spans="1:14" x14ac:dyDescent="0.3">
      <c r="B41" t="s">
        <v>140</v>
      </c>
      <c r="F41" s="6">
        <f>F37</f>
        <v>25.530049399999825</v>
      </c>
      <c r="G41" s="6">
        <f t="shared" ref="G41:N41" si="6">G37</f>
        <v>19.1390929000002</v>
      </c>
      <c r="H41" s="6">
        <f t="shared" si="6"/>
        <v>-7.8148081000000786</v>
      </c>
      <c r="I41" s="6">
        <f t="shared" si="6"/>
        <v>-22.259867200000045</v>
      </c>
      <c r="J41" s="6">
        <f t="shared" si="6"/>
        <v>-14.687584203940347</v>
      </c>
      <c r="K41" s="6">
        <f t="shared" si="6"/>
        <v>165.96938275642012</v>
      </c>
      <c r="L41" s="6">
        <f t="shared" si="6"/>
        <v>177.73701692414659</v>
      </c>
      <c r="M41" s="6">
        <f t="shared" si="6"/>
        <v>129.40074981224501</v>
      </c>
      <c r="N41" s="6">
        <f t="shared" si="6"/>
        <v>230.39448482301708</v>
      </c>
    </row>
    <row r="42" spans="1:14" x14ac:dyDescent="0.3">
      <c r="A42" s="14"/>
      <c r="B42" s="15" t="s">
        <v>141</v>
      </c>
      <c r="C42" s="14"/>
      <c r="D42" s="14"/>
      <c r="E42" s="29">
        <f>'Balance Sheet'!E28</f>
        <v>25.600027999999998</v>
      </c>
      <c r="F42" s="29">
        <f>SUM(F40:F41)</f>
        <v>51.13007739999982</v>
      </c>
      <c r="G42" s="29">
        <f t="shared" ref="G42:N42" si="7">SUM(G40:G41)</f>
        <v>70.269170300000013</v>
      </c>
      <c r="H42" s="29">
        <f t="shared" si="7"/>
        <v>62.454362199999935</v>
      </c>
      <c r="I42" s="29">
        <f t="shared" si="7"/>
        <v>40.19449499999989</v>
      </c>
      <c r="J42" s="29">
        <f t="shared" si="7"/>
        <v>25.506910796059543</v>
      </c>
      <c r="K42" s="29">
        <f t="shared" si="7"/>
        <v>191.47629355247966</v>
      </c>
      <c r="L42" s="29">
        <f t="shared" si="7"/>
        <v>369.21331047662625</v>
      </c>
      <c r="M42" s="29">
        <f t="shared" si="7"/>
        <v>498.61406028887126</v>
      </c>
      <c r="N42" s="29">
        <f t="shared" si="7"/>
        <v>729.00854511188834</v>
      </c>
    </row>
    <row r="44" spans="1:14" x14ac:dyDescent="0.3">
      <c r="B44" s="3" t="s">
        <v>142</v>
      </c>
      <c r="E44" s="13">
        <f>'Balance Sheet'!E28</f>
        <v>25.600027999999998</v>
      </c>
      <c r="F44" s="13">
        <f>'Balance Sheet'!F28</f>
        <v>51.145373900000003</v>
      </c>
      <c r="G44" s="13">
        <f>'Balance Sheet'!G28</f>
        <v>70.285180600000004</v>
      </c>
      <c r="H44" s="13">
        <f>'Balance Sheet'!H28</f>
        <v>62.467242900000002</v>
      </c>
      <c r="I44" s="13">
        <f>'Balance Sheet'!I28</f>
        <v>40.208412099999997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Assumptions</vt:lpstr>
      <vt:lpstr>Balance Sheet</vt:lpstr>
      <vt:lpstr>P&amp;L</vt:lpstr>
      <vt:lpstr>Asset Schedule</vt:lpstr>
      <vt:lpstr>Debt Schedule </vt:lpstr>
      <vt:lpstr>Reserves schedule </vt:lpstr>
      <vt:lpstr>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2022-04-01T08:12:57Z</dcterms:modified>
</cp:coreProperties>
</file>